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9090" activeTab="0"/>
  </bookViews>
  <sheets>
    <sheet name="finanse-calosc" sheetId="1" r:id="rId1"/>
    <sheet name="odrzucone" sheetId="2" r:id="rId2"/>
    <sheet name="dotacje" sheetId="3" r:id="rId3"/>
    <sheet name="cale koszty" sheetId="4" r:id="rId4"/>
    <sheet name="uslugi" sheetId="5" r:id="rId5"/>
  </sheets>
  <definedNames/>
  <calcPr fullCalcOnLoad="1"/>
</workbook>
</file>

<file path=xl/sharedStrings.xml><?xml version="1.0" encoding="utf-8"?>
<sst xmlns="http://schemas.openxmlformats.org/spreadsheetml/2006/main" count="3701" uniqueCount="1062">
  <si>
    <t>Szkolenie młodzieży z terenu Katowic w VIII ponadregionalnej edycji Powiatowej Młodzieżowej Szkoły Liderów-młodzieżowych animatorów programów profilaktycznych</t>
  </si>
  <si>
    <t>Zakup materiałów edukacyjno-propagandowych dla placówek oświatowych w ramach realizacji kampanii profilaktyczno-edukacyjnej "Zachowaj Trzeźwy Umysł"</t>
  </si>
  <si>
    <t xml:space="preserve">zakup          materiałów </t>
  </si>
  <si>
    <t>rozdz. 85154 § 4210</t>
  </si>
  <si>
    <t>Śląskie Centrum Profilaktyki i Psychoterapii, Katowice ul.Powstańców 21</t>
  </si>
  <si>
    <t>Ośrodek Profilaktyczno-Szkoleniowy im. ks. Fr.Blachnickiego Fundacji "Światło Życie" , Katowice ul. Gawronów 20</t>
  </si>
  <si>
    <t xml:space="preserve">Rzymsko-Katolicka Parafia Wniebowzięcia Najświętszej Marii Panny, Katowice ul. Graniczna 26            </t>
  </si>
  <si>
    <t>Rzymsko-Katolicka Parafia p.w. św. Barbary, Katowice ul. Młodzieżowa 10</t>
  </si>
  <si>
    <t xml:space="preserve">Stowarzyszenie Klub Abstynentów "Powrót", Mikołów ul. Konstytucji 3 Maja 38                </t>
  </si>
  <si>
    <t xml:space="preserve">Polski Czerwony Krzyż Zarząd Rejonowy w Katowicach, Katowice ul. PCK 8                                </t>
  </si>
  <si>
    <t>ORGANIZACJE POZARZĄDOWE - OFERTY ROZPATRZONE POZYTYWNIE</t>
  </si>
  <si>
    <t>Pełny koszt realizacji zadania przez organizację</t>
  </si>
  <si>
    <t>Przyznana dotacja</t>
  </si>
  <si>
    <t>Wkład własny organizacji</t>
  </si>
  <si>
    <t>w zł</t>
  </si>
  <si>
    <t>w % w stosunku do pełnych kosztów</t>
  </si>
  <si>
    <t>24.09.2007 -15.12.2007</t>
  </si>
  <si>
    <t>10.06.2007</t>
  </si>
  <si>
    <t>10.04.2007 - 14.12.2007</t>
  </si>
  <si>
    <t>10.04.2007- 14.12.2007</t>
  </si>
  <si>
    <t>14.05.2007-18.12.2007</t>
  </si>
  <si>
    <t>02.-04.03.2007;   28-30.09.2007</t>
  </si>
  <si>
    <t>rozdz. 85153 § 4300</t>
  </si>
  <si>
    <t>rozdz.85153 §4300</t>
  </si>
  <si>
    <t xml:space="preserve">rozdz.85153 §2820 </t>
  </si>
  <si>
    <t>01.03.2007-31.12.2007</t>
  </si>
  <si>
    <t>01.04.2007-31.12.2007</t>
  </si>
  <si>
    <t xml:space="preserve">Rzymsko-Katolicka Parafia Wniebowzięcia Najświętszej Marii Panny,  Katowice ul. Graniczna 26            </t>
  </si>
  <si>
    <t>03.12.2007 - 20.12.2007</t>
  </si>
  <si>
    <t>Fundacja "Pomoc Dzieciom Śląska", Katowice ul. Ks. P. Ściegiennego 7</t>
  </si>
  <si>
    <t>rozdz. 92605 § 4300</t>
  </si>
  <si>
    <t>UKS SOKÓŁ 43, Katowice ul. Brynicy 7</t>
  </si>
  <si>
    <t>Turniej Szachowy z okazji Dnia Dziecka</t>
  </si>
  <si>
    <t xml:space="preserve">Mistrzostwa Katowic w Narciarstwie Alpejskim </t>
  </si>
  <si>
    <t xml:space="preserve">Rozgrywki Ligowe Piłki Siatkowej </t>
  </si>
  <si>
    <t>01.01.2007-30.06.2007</t>
  </si>
  <si>
    <t>09.03.2007</t>
  </si>
  <si>
    <t>01.06.2007</t>
  </si>
  <si>
    <t>Rzymsko - Katolicka Parafia św. Ludwika, Katowice ul.  Panewnicka 76</t>
  </si>
  <si>
    <t>KS ROZWÓJ, katowice ul. Zgody 28</t>
  </si>
  <si>
    <t>30.11.2007 -02.12.2007</t>
  </si>
  <si>
    <t>08.12.2007</t>
  </si>
  <si>
    <t xml:space="preserve">Rozgrywki Amatorskiej Ligi Hokeja </t>
  </si>
  <si>
    <t>01.11.2007 -31.12.2007</t>
  </si>
  <si>
    <t>Śląski Związek Hokeja na Lodzie, Katowice ul. Nałkowskiej 10</t>
  </si>
  <si>
    <t>8-9.12.2007</t>
  </si>
  <si>
    <t>1-2.12.2007</t>
  </si>
  <si>
    <t xml:space="preserve">XVI Turniej Barbórkowy w Zapasach - styl klasyczny </t>
  </si>
  <si>
    <t>ZKS TYTAN 92, Katowice ul. Radosna 35</t>
  </si>
  <si>
    <t>7-10.12.2007</t>
  </si>
  <si>
    <t>Mikołajkowy Turniej Szachowy</t>
  </si>
  <si>
    <t>KS HETMAN SZOPIENICE, Katowice ul. Hallera 28</t>
  </si>
  <si>
    <t>16.12.2007</t>
  </si>
  <si>
    <t>Rozgrywki ligi siatkówki i tenisa stołowego</t>
  </si>
  <si>
    <t>01.09.2007-31.12.2007</t>
  </si>
  <si>
    <t>01.01.2007 - 30.06.2007</t>
  </si>
  <si>
    <t>rozdz. 85228,§3110</t>
  </si>
  <si>
    <t>Stowarzyszenie Działające na Rzecz Osób Chorych Psychicznie i Ich Rodzin "Przystań", Katowice ul. Tysiąclecia 41</t>
  </si>
  <si>
    <t>15.08.2006 - 31.05.2007</t>
  </si>
  <si>
    <t>Śląskie Stowarzyszenie "Ad Vitam Dignam", Katowice ul. Korczaka 27</t>
  </si>
  <si>
    <t>15.08.2006  31.05.2007</t>
  </si>
  <si>
    <t>01.07.2007 - 31.06.2010</t>
  </si>
  <si>
    <t>rozdz. 85228,§2820</t>
  </si>
  <si>
    <t>01.09.2007 - 31.08.2012</t>
  </si>
  <si>
    <t>9)</t>
  </si>
  <si>
    <t>Prowadzenie ośrodków wsparcia dla osób z zaburzeniami psychicznymi.</t>
  </si>
  <si>
    <t>Prowadzenie Środowiskowego Domu Samopomocy  przy ul. Oswobodzenia 92 wraz z Hostelem</t>
  </si>
  <si>
    <t xml:space="preserve">01.09.2006 - 31.08.2009 </t>
  </si>
  <si>
    <t xml:space="preserve">Prowadzenie Środowiskowego Domu Samopomocy przy ul. Tysiąclecia 41 wraz z Hostelem </t>
  </si>
  <si>
    <t>01.11.2005 - 31.10.2008</t>
  </si>
  <si>
    <t>1.</t>
  </si>
  <si>
    <t>2.</t>
  </si>
  <si>
    <t>3.</t>
  </si>
  <si>
    <t>4.</t>
  </si>
  <si>
    <t>Utworzenie i prowadzenie grupy wsparcia dla osób, które ukończyły Klub Integracji Społecznej</t>
  </si>
  <si>
    <t>21.09.2006 - 31.12.2007</t>
  </si>
  <si>
    <t>5.</t>
  </si>
  <si>
    <t>6.</t>
  </si>
  <si>
    <t>10)</t>
  </si>
  <si>
    <t>rozdz. 85154, §2820</t>
  </si>
  <si>
    <t>Prowadzenie programu: "Moje miejsce na ziemi"</t>
  </si>
  <si>
    <t>Stowarzyszenie na Rzecz Dzieci i Rodzin „Horyzont”, Katowice ul. Orkana 7a</t>
  </si>
  <si>
    <t>01.04.2004 – 31.03.2007</t>
  </si>
  <si>
    <t>Prowadzenie programu: "Z angielskim za pan brat".</t>
  </si>
  <si>
    <t>01.09.2004 – 31.08.2007, 01.09.2007 - 31.08.2012</t>
  </si>
  <si>
    <t>Prowadzenie programu: "Grupa bawi się, uczy i wychowuje" i grupy terapeutycznej.</t>
  </si>
  <si>
    <t>15.09.2004 – 31.08.2007</t>
  </si>
  <si>
    <t>01.09.2007 – 31.08.2012</t>
  </si>
  <si>
    <t>Środowiskowy Klub Młodzieżowy "Dim"</t>
  </si>
  <si>
    <r>
      <t xml:space="preserve">Udzielanie </t>
    </r>
    <r>
      <rPr>
        <b/>
        <sz val="8"/>
        <rFont val="Arial Narrow"/>
        <family val="2"/>
      </rPr>
      <t>dotacji celowej</t>
    </r>
    <r>
      <rPr>
        <sz val="8"/>
        <rFont val="Arial Narrow"/>
        <family val="2"/>
      </rPr>
      <t xml:space="preserve"> dla organizacji pozarządowej na sfinansowanie </t>
    </r>
    <r>
      <rPr>
        <b/>
        <sz val="8"/>
        <rFont val="Arial Narrow"/>
        <family val="2"/>
      </rPr>
      <t>całkowitych kosztów</t>
    </r>
    <r>
      <rPr>
        <sz val="8"/>
        <rFont val="Arial Narrow"/>
        <family val="2"/>
      </rPr>
      <t xml:space="preserve"> realizacji zadania</t>
    </r>
  </si>
  <si>
    <t>Kwota przyznanej dotacji</t>
  </si>
  <si>
    <t>Uwagi</t>
  </si>
  <si>
    <t>Prezentacja fotografii współczesnej "Katowice Nowe 2007"</t>
  </si>
  <si>
    <t>Festiwal Kultury Harcerskiej "Na skautową nutę"</t>
  </si>
  <si>
    <t>Projekt "Wartości dla Śląska"</t>
  </si>
  <si>
    <t>II Festiwal im. Grzegorza Gerwazego Garczyckiego</t>
  </si>
  <si>
    <t>rezygnacja</t>
  </si>
  <si>
    <t>Projekt integracycjny "Razem lepiej"</t>
  </si>
  <si>
    <t>Konkurs wiedzy Śląsku "Znam, kocham i szanuję miejsce w którym żyję.."</t>
  </si>
  <si>
    <t>"Magnifikat" - prawykonanie utworu W. Kilara na Śląsku</t>
  </si>
  <si>
    <t>Wystawa retrospektywna Jerzego Moskala "Gdzie jest mój teatr"</t>
  </si>
  <si>
    <t>Prezentacja fotografii współczesnej "Zbigniew Sawicz - Mistrzowie piękna"</t>
  </si>
  <si>
    <t>Spketakl plenerowy Teatru Gry i Ludzie "Face - lifting"</t>
  </si>
  <si>
    <t>Wystawa indywidualna Georgija Safronowa "Smak jarzębiny"</t>
  </si>
  <si>
    <t>Przygotowanie dzieci z Katowic-Załęża do świątecznych spotkań z Polonią w Niemczech</t>
  </si>
  <si>
    <t>VI Festiwal Nordalia</t>
  </si>
  <si>
    <t>"Rok Równych Szans - Integracyjny znak wędrującej miłości"</t>
  </si>
  <si>
    <t>Fundacja "Pomoc Dzieciom Śląska", Katowice ul. Ściegiennego 7</t>
  </si>
  <si>
    <t>Prowadzenie Środowiskowej Świetlicy Młodzieżowej „EKIPA I”</t>
  </si>
  <si>
    <t>Parafia Ewangelicko-Augsburska, Katowice ul. Bednorza 20</t>
  </si>
  <si>
    <t>01.04.2004 - 31.03.2007</t>
  </si>
  <si>
    <t>Prowadzenie Środowiskowej Świetlicy Młodzieżowej „EKIPA II”</t>
  </si>
  <si>
    <t>Prowadzenie programu: "Z ulicy do domu"</t>
  </si>
  <si>
    <t>09.07.2007 - 08.07.2012</t>
  </si>
  <si>
    <t>AZS AWF K-ce, ul. Mikołowska 72 a</t>
  </si>
  <si>
    <t>KRS TKKF „Czarni”, K-ce, ul. Dorobku Górniczego 14</t>
  </si>
  <si>
    <t>ŚKK „Goliat”, K-ce, ul. Uniwersytecka 12/84</t>
  </si>
  <si>
    <t>KS „MK Górnik”, K-ce, ul. Bielska 1</t>
  </si>
  <si>
    <t>KS „Hetman Szopienice”,        K-ce, ul. Hallera 28</t>
  </si>
  <si>
    <t>Brak danych</t>
  </si>
  <si>
    <t>KS „Hetman 22”, K-ce, ul. Siwka 2</t>
  </si>
  <si>
    <t xml:space="preserve">HKS „Szopienice”, K-ce ul. Obr. Westerplatte 44 </t>
  </si>
  <si>
    <t>Szkolenie dzieci i młodzieży w dziedzinie sportu i rekreacji.                                              Organizacja imprez sportowo-rekreacyjnych.                                 Prowadzenie środowiskowych programów profilaktycznych w formie pozalekcyjnych zajęć sportowych.</t>
  </si>
  <si>
    <t>Spektakl "Kometa czyli ten okrutny XX wiek"</t>
  </si>
  <si>
    <t>Konkurs "Praca Roku 2006"</t>
  </si>
  <si>
    <t>13. Festiwal Twórczości Studenckiej</t>
  </si>
  <si>
    <t>Dzień Godności Osób Niepełnosprawnych - Majówka 2007</t>
  </si>
  <si>
    <t>"Był w Katowicach - Rok Karola Szymanowskiego"</t>
  </si>
  <si>
    <t>Spektakl teatralny "Blue"</t>
  </si>
  <si>
    <t>Wieczór rocznicowy "X Lat Teatru bez Sceny"</t>
  </si>
  <si>
    <t>Seminarium Literackie 2007 "Literatira i film grozy"</t>
  </si>
  <si>
    <t>Tournee: Katowice - Cannes - Stuttgart. Koncerty zespołu wokalno-tanecznego Ychtis</t>
  </si>
  <si>
    <t>VII Festiwal "Rock Bez Igły" z WSB</t>
  </si>
  <si>
    <t>Miesięcznik społeczno - kulturalny "Śląsk"</t>
  </si>
  <si>
    <t>Koncert kolęd przy Żywej Szopce</t>
  </si>
  <si>
    <t>3. Festiwal Filmów Niezależnych "kliOFF"</t>
  </si>
  <si>
    <t>Spektakl plenerowy "Kalwaria Śląska"</t>
  </si>
  <si>
    <t>"Polska Muzyka Najnowsza - Festiwal Prawykonań"</t>
  </si>
  <si>
    <t>Koncerty w ramach cyklu spotkań integracyjnych "Muzyczne Spotkania z Kulturą"</t>
  </si>
  <si>
    <t>Wystawa i album pt. "Katowice - Kwartał Wodna"</t>
  </si>
  <si>
    <t>XII Festiwal "Muzyka Organowa w Katedrze"</t>
  </si>
  <si>
    <t>Festyny kulturalno - muzyczne w parku Bogucickim i Dolinie Trzech Stawów</t>
  </si>
  <si>
    <t>Koncert plenerowy "Blues na Dolinie"</t>
  </si>
  <si>
    <t>Festyn majowy</t>
  </si>
  <si>
    <t>"IV Reggae - Rap Festiwal 2007"</t>
  </si>
  <si>
    <t>XIV Dziecięcy Festiwal Piosenki Religinej</t>
  </si>
  <si>
    <t>10. Festiwal Filmów Kultowych</t>
  </si>
  <si>
    <t>Minifestyn parafialny</t>
  </si>
  <si>
    <t>"Dni Giszowca" - festyn</t>
  </si>
  <si>
    <t>XIV Festyn "Murckowskie Śląskie Gody"</t>
  </si>
  <si>
    <t>"San Manhattan"</t>
  </si>
  <si>
    <t>IX Festyn Parafialno - Szkolny</t>
  </si>
  <si>
    <t>Festyn rodzinny "U Antonika"</t>
  </si>
  <si>
    <t>XVII Festyn Bogucicki</t>
  </si>
  <si>
    <t>13. Międzynarodowy Festiwal Teatralny A Part</t>
  </si>
  <si>
    <t>Festyn parafialny</t>
  </si>
  <si>
    <t>UKS „Sokół 22”, K-ce ul. Wolskiego 3</t>
  </si>
  <si>
    <t>UKS „Sokół 43”, K-ce ul. Brynicy 7</t>
  </si>
  <si>
    <t>UKS „4”, K-ce ul. Trzech Stawów 10</t>
  </si>
  <si>
    <t>UKS „Spin”, K-ce ul. Szopienicka 13 d/7</t>
  </si>
  <si>
    <t>UKS „Sprint”, K-ce ul. Przyjazna 7 a</t>
  </si>
  <si>
    <t>UKS „Żaczek”, K-ce ul. Iłłakowiczówny 13</t>
  </si>
  <si>
    <t>Stowarzyszenie Pomocy Dzieciom i Młodzieży "Dom Aniołów Stróżów", Katowice ul Andrzeja 12 a (Ognisko i Świetlice Terapeutyczne przy ul. Gliwickiej 148)</t>
  </si>
  <si>
    <t>Świetlica środowiskowa św. Wojciecha (ul. Chopina 8c/1)</t>
  </si>
  <si>
    <t>Fundacja "Pomoc Dzieciom Śląska",  Katowice ul. Ks. P. Ściegiennego 7</t>
  </si>
  <si>
    <t>Rzymsko-Katolicka Parafia  św. Barbary , Katowice ul. Młodzieżowa 10</t>
  </si>
  <si>
    <t>Caritas Archidiecezji Katowickiej - Ośrodek św. Jacka, Katowice ul. Dębowa 23</t>
  </si>
  <si>
    <t>Polskie Towarzystwo Zapobiegania Narkomanii - Oddział w Katowicach,  Katowice ul.Warszawska 19</t>
  </si>
  <si>
    <t>Fundacja Pomocy "Nowy Świat" ,  Katowice ul. Gliwicka 272</t>
  </si>
  <si>
    <t>Rzymsko - Katolicka Parafia św. Szczepana, Katowice ul. Markiefki 89</t>
  </si>
  <si>
    <t>Prowadzenie Świetlicy Środowiskowej typu opiekuńczego zwanej, ochronką dla dzieci przedszkolnych</t>
  </si>
  <si>
    <t>Prowadzenie Świetlicy Środowiskowej typu opiekuńczego, zwanej ochronką dla dzieci ubogich z dzielnicy Katowice - Bogucice</t>
  </si>
  <si>
    <t>Caritas Archidiecezji Katowickiej Ośrodek św. Jacka, Katowice ul. Dębowej 23</t>
  </si>
  <si>
    <t>Festyny kulturalno - muzyczne w Parku Bogucickim i Dolinie Trzech Stawów</t>
  </si>
  <si>
    <t xml:space="preserve">Towarzystwo Kultury Teatralnej o/województwa Śląskiego, Katowice  ul. św. Jana 10  </t>
  </si>
  <si>
    <t>Rzymsko-Katolicka Parafia  św. Barbary, Katowice ul. Młodzieżowa 10</t>
  </si>
  <si>
    <t>Rzymsko-Katolicka Parafia św. Barbary, Katowice ul. Młodzieżowa 10</t>
  </si>
  <si>
    <t>Realizacja kompleksowego programu profil.-interwencyjnego dla młodzieży narażonej na kontakt z narkotykami i zakażonej wirusem HIV oraz dla osób ponoszących konsekwencje tych zagrożeń</t>
  </si>
  <si>
    <t>Prowadzenie działań z zakresu profilaktyki i promocji zdrowia mających na celu utrzymanie i poprawę zdrowia oraz związanej z nim jakości życia mieszkańców.</t>
  </si>
  <si>
    <t>Wydział Zdrowia, Nadzoru Właścicielskiego i Przekształceń Własnościowych</t>
  </si>
  <si>
    <t xml:space="preserve">Realizacja monitoringu zdrowotnego dzieci i młodzieży w zakresie narażenia środowiskowego na ołów w mieście Katowice. </t>
  </si>
  <si>
    <t>razem</t>
  </si>
  <si>
    <t>Roczna kampania zdrowia – Katowice 2007 – inwestujmy w zdrowie, budujmy lepszą przyszłość</t>
  </si>
  <si>
    <t>IX Festyn Integracyjny "Uśmiech za Serce"</t>
  </si>
  <si>
    <t>Dzień Kultury Niemieckiej</t>
  </si>
  <si>
    <t>"Czwartki literackie"</t>
  </si>
  <si>
    <t>Wydanie albumu Georgija Safronowa z okazji jubileuszu twórczości</t>
  </si>
  <si>
    <t xml:space="preserve">5. Kulutura, sztuka, ochrona dóbr kultury i tradycji </t>
  </si>
  <si>
    <t>XVI Spotkania Dzieci w Ogrodach Kurii</t>
  </si>
  <si>
    <t>Fest. Piosenki Harcerskiej i Religijnej "W codzienności dotykać nieba.."</t>
  </si>
  <si>
    <t>Koncert Orkiestry Muzyki Współczesnej z Saint - Etienne</t>
  </si>
  <si>
    <t>Wystawa pokonkursowa "Praca Roku 2006"</t>
  </si>
  <si>
    <t>Projekt"Słowa które leczą"</t>
  </si>
  <si>
    <t>IX Katowickie Spotkania Literackie</t>
  </si>
  <si>
    <t>XX Biennale Plakatu Polskiego</t>
  </si>
  <si>
    <t>Sympozjum Literackie</t>
  </si>
  <si>
    <t>Akademicke Wieczory Muzyczne</t>
  </si>
  <si>
    <t>2 imprezy integracyjne</t>
  </si>
  <si>
    <t>Debiut Poetycki Z.Skwarka</t>
  </si>
  <si>
    <t>Konkurs "Bliżej Teatru"</t>
  </si>
  <si>
    <t>Koncert Okolicznościowy</t>
  </si>
  <si>
    <t>rozdz. 92195 § 4300</t>
  </si>
  <si>
    <t>52. Ogólnopolski Konkurs Recytatorski; Spotkania w Galerii Laureatów "Złotej Maski"</t>
  </si>
  <si>
    <t xml:space="preserve">Towarzystwo Przyjaciół NOSPR, Katowice Plac Sejmu Śl. 2  </t>
  </si>
  <si>
    <t xml:space="preserve">Towarzystwo Kultury Teatralnej o/Województwa Śląskiego, Katowice ul. Św. Jana 10  </t>
  </si>
  <si>
    <t>Śląskie Warsztaty Artystystyczne "Katowice 2007"</t>
  </si>
  <si>
    <t>Towarzystwo Pomocy im. św. Brata Alberta - Koło Katowice, Katowice ul. Sądowa 1</t>
  </si>
  <si>
    <t>Rzymsko-Katolicka Parafia Niepokalanego Poczęcia NMP, Katowice Pl. Szramka 1</t>
  </si>
  <si>
    <t>Rzymsko-Katolicka Parafia św. Ap. Piotra i Pawła, Katowice ul. Mikołowska 32</t>
  </si>
  <si>
    <t>Przygotowywanie gorących posiłków dla uczniów szkół: Zespołu Szkół Specjalnych Nr 8, Zespołu Szkół Specjalnych Nr 10, Gimnazjum Nr 18 i Szkoły Podstawowej Nr 10</t>
  </si>
  <si>
    <t>Caritas Archidiecezji Katowickiej Ośrodek św. Jacka, Katowice ul. Dębowa 23</t>
  </si>
  <si>
    <t>Katolicka Fundacja Dzieciom przy Rzymsko-Katolickiej Parafii św. Apostołów Piotra i Pawła, Katowice ul. Kilińskiego 15</t>
  </si>
  <si>
    <t>Śląskie Towarzystwo "POMOST",  Chorzów ul. Katowicka 57/3</t>
  </si>
  <si>
    <t>Wspólnota Dobrego Pasterza, Katowice ul. Opolska 3</t>
  </si>
  <si>
    <t>Rzymsko - Katolicka Parafia pod Wezwaniem św. Barbary, Katowice ul. Młodzieżowa 10</t>
  </si>
  <si>
    <t xml:space="preserve">Rzymsko-Katolicka Parafia św. Józefa Robotnika, Katowice ul. Mikusińskiego 8 </t>
  </si>
  <si>
    <t>Śląska Liga Walki z Rakiem, Katowice ul. Sokolska 70</t>
  </si>
  <si>
    <t xml:space="preserve"> 02.04.2007 -07.12.2007</t>
  </si>
  <si>
    <t>02.04.2007 -07.12.2007</t>
  </si>
  <si>
    <t>Śląskie Centrum Profilaktyki i Psychoterapii, Katowice ul. Powstańców 21</t>
  </si>
  <si>
    <t xml:space="preserve">rozdz.85149,§ 2820 </t>
  </si>
  <si>
    <t>Zwiększenie dostępności pomocy terapeutycznej i rehabilitacyjnej dla osób uzależnionych od alkoholu, narkotyków i członków ich rodzin.</t>
  </si>
  <si>
    <t>Pełnomocnik Prezydenta ds. Rozwiązywania Problemów Uzależnień</t>
  </si>
  <si>
    <t>Profilaktyka i poradnictwo w rozwiązywaniu problemów alkoholowych (Klub Abstynenta)</t>
  </si>
  <si>
    <t>Katowickie Stowarzyszenie Trzeźwościowe "Jędruś", Katowice ul. Macieja 10</t>
  </si>
  <si>
    <t>6. Upowszechnianie kultury fizycznej, sportu i turystyki.</t>
  </si>
  <si>
    <t>Szkolenie dzieci i młodzieży w dziedzinie sportu, turystyki i rekreacji.</t>
  </si>
  <si>
    <t>Szkolenie dzieci i młodzieży w dziedzinie sportu i rekreacji i Organizacja imprez sportowo-rekreacyjnych</t>
  </si>
  <si>
    <t>01.01.2007 -31.12.2007</t>
  </si>
  <si>
    <t>rozdz. 92605 § 2810</t>
  </si>
  <si>
    <t>rozdz.92605 § 2810</t>
  </si>
  <si>
    <t>rozdz. 92605 § 2820</t>
  </si>
  <si>
    <t>rozdz.92605 § 2820</t>
  </si>
  <si>
    <t>Program interwencyjno-readaptacyjny dla pacjentów z podwójną diagnozą, tzn. uzależnionych od alkoholu i środków narkotycznych , i ich rodzin</t>
  </si>
  <si>
    <t>Letni obóz integracyjno-terapeutyczny dla dzieci i młodzieży "Koniaków 2007"</t>
  </si>
  <si>
    <t xml:space="preserve">Grupa dziecięco - młodzieżowa </t>
  </si>
  <si>
    <t>Udzielanie rodzinom, w których występują problemy alkoholowe i narkotykowe pomocy psychospołecznej i prawnej, a w szczególności ochrona przed przemocą w rodzinie.</t>
  </si>
  <si>
    <t>Prowadzenie profilaktycznej działalności informacyjnej i edukacyjnej w zakresie rozwiązywania problemów alkoholowych i przeciwdziałania narkomanii, w szczególności dla dzieci i młodzieży, w tym prowadzenie pozalekcyjnych zajęć sportowych, a także działań na rzecz dożywiania dzieci uczestniczących w pozalekcyjnych programach opiekuńczo - wychowawczych i socjoterapeutycznych.</t>
  </si>
  <si>
    <r>
      <t xml:space="preserve">Wspieranie zadań publicznych poprzez udzielanie </t>
    </r>
    <r>
      <rPr>
        <b/>
        <i/>
        <sz val="7"/>
        <color indexed="8"/>
        <rFont val="Arial Narrow"/>
        <family val="2"/>
      </rPr>
      <t>dotacji celowej</t>
    </r>
    <r>
      <rPr>
        <sz val="7"/>
        <color indexed="8"/>
        <rFont val="Arial Narrow"/>
        <family val="2"/>
      </rPr>
      <t xml:space="preserve"> dla organizacji pozarządowych na pokrycie </t>
    </r>
    <r>
      <rPr>
        <b/>
        <i/>
        <sz val="7"/>
        <color indexed="8"/>
        <rFont val="Arial Narrow"/>
        <family val="2"/>
      </rPr>
      <t>części lub całości kosztów</t>
    </r>
    <r>
      <rPr>
        <sz val="7"/>
        <color indexed="8"/>
        <rFont val="Arial Narrow"/>
        <family val="2"/>
      </rPr>
      <t xml:space="preserve"> realizacji zadania. </t>
    </r>
  </si>
  <si>
    <t>Stowarzyszenie Pomocy Dzieciom i Młodzieży "Dom Aniołów Stróżów", Katowice ul. Andrzeja 12 a  (Ognisko i Świetlice Terapeutyczne przy ul. Gliwickiej 148)</t>
  </si>
  <si>
    <t>Organizowanie działań informacyjno - pomocowych dot. działalności sekt i nowych ruchów religijnych dla rodzin i młodzieży, w tym: prowadzenie biura informacji, działania profilaktyczne, edukacyjne w szkołach.</t>
  </si>
  <si>
    <t>Przeciwdziałanie prostytucji i rozszerzaniu się postaw destrukcyjnych, agresywnych, aspołecznych w środowisku dzieci i młodzieży poprzez prowadzenie profilaktyki, pomocy terapeutycznej i szeroko rozumianego poradnictwa w środowisku osób zagrożonych.</t>
  </si>
  <si>
    <t xml:space="preserve">Śląskie Stowarzyszenie Miłośników Folkloru, Katowice  ul. Gen.Hallera 28 </t>
  </si>
  <si>
    <t>20.- 24. 02.2007</t>
  </si>
  <si>
    <t>01.03.2007-31.05.2007</t>
  </si>
  <si>
    <t>01.03.2007-30.06.2007;                                                                                                                                                01.09.2007-31.12.2007</t>
  </si>
  <si>
    <t>14.- 24. 06. 2007</t>
  </si>
  <si>
    <t>01.07.2007-31.12.2007</t>
  </si>
  <si>
    <t>10.-14. 07.2007</t>
  </si>
  <si>
    <t>01.10.2007 - 31.10.2007</t>
  </si>
  <si>
    <t>19.- 21. 10. 2007</t>
  </si>
  <si>
    <t>01.04.2007-30.11.2007</t>
  </si>
  <si>
    <t>24.-25.02.2007</t>
  </si>
  <si>
    <t>01.03.2007-30.04.2007.</t>
  </si>
  <si>
    <t>01.03.2007-30.04.2007</t>
  </si>
  <si>
    <t>01.05.2007-31.12.2007</t>
  </si>
  <si>
    <t>01.05.2007-30.11.2007</t>
  </si>
  <si>
    <t>01.05.2007-30.09.2007</t>
  </si>
  <si>
    <t>01.- 02.06.2007</t>
  </si>
  <si>
    <t>14 - 18.06.2007</t>
  </si>
  <si>
    <t>25- 26.05.2007</t>
  </si>
  <si>
    <t>15 - 16.05.2007</t>
  </si>
  <si>
    <t>13- 27.05.2007</t>
  </si>
  <si>
    <t>01- 03.06.2007</t>
  </si>
  <si>
    <t>25. 06.2007-                                                                                                                                                  06. 07. 2007</t>
  </si>
  <si>
    <t>08- 09. 09.2007</t>
  </si>
  <si>
    <t>01.10.2007-31.10.2007</t>
  </si>
  <si>
    <t>11 - 25.10.2007</t>
  </si>
  <si>
    <t>01.11.207-30.11.2007</t>
  </si>
  <si>
    <t>01.11.2007-30.11.2007</t>
  </si>
  <si>
    <t>01.12.2007-31.12.2007</t>
  </si>
  <si>
    <t>01.11.2007-30.11.2007, 01.12.2007--31.12.2007</t>
  </si>
  <si>
    <t>Polskie Stowarzyszenie na Rzecz Osób z Upośledzeniem Umysłowym Koło w Katowicach - Giszowcu, Katowice  ul. Gościnna 8</t>
  </si>
  <si>
    <t>III - INFORMACJA UZUPEŁNIAJĄCA DOTYCZĄCA ZADAŃ ZLECONYCH ORGANIZACJOM POZARZĄDOWYM PRZEZ MIASTO KATOWICE W OKRESIE OD 01.01.2007 r.  DO 31.12.2007 r.</t>
  </si>
  <si>
    <t>ORGANIZACJE POZARZĄDOWE - OFERTY ODRZUCONE*</t>
  </si>
  <si>
    <t>Uzasadnienie odrzucenia oferty</t>
  </si>
  <si>
    <t>6)</t>
  </si>
  <si>
    <t>4. Porządek, bezpieczeństwo publiczne oraz przeciwdziałanie patologiom społecznym</t>
  </si>
  <si>
    <t>Organizowanie działań informacyjno - pomocowych dot. działalności sekt i nowych ruchów religijnych dla rodzin i młodzieży w tym: prowadzenie biura informacji, działania profilaktyczne, edukacyjne w szkołach.</t>
  </si>
  <si>
    <t xml:space="preserve">5. Kultura, sztuka, ochrona dóbr kultury i tradycji. </t>
  </si>
  <si>
    <t xml:space="preserve">1. </t>
  </si>
  <si>
    <t>Projekt: "Moje miejsce na ziemi"</t>
  </si>
  <si>
    <t>Oferta nie spełniała wymogów formalnych, tj. kwalifikacje kadry nie odpowiadały wymaganiom określonym w warunkach konkursu.</t>
  </si>
  <si>
    <t xml:space="preserve">2. </t>
  </si>
  <si>
    <t>Projekt: "Centrum wsparcia socjalnego OPOKA"</t>
  </si>
  <si>
    <t>Stowarzyszenie na Rzecz Dzieci i Rodzin "Horyzont", Katowice ul. Orkana 7a</t>
  </si>
  <si>
    <t>Katowickie Stowarzyszenie na Rzecz Osób Starszych, Niepełnosprawnych i Oczekujących Wsparcia "Opoka", Katowice ul. M. Oblatów 24</t>
  </si>
  <si>
    <t>Śląskie Centrum Profilaktyki i Psychoterapii                     Katowice, ul.Powstańców 21</t>
  </si>
  <si>
    <t>Oferta przewidziana do wykorzystania w trybie wykupu usług, w oparciu o prawo zamówień publicznych</t>
  </si>
  <si>
    <t>Warsztaty terapeutyczne "Stop dla alkoholu i narkotyków STALNAR"</t>
  </si>
  <si>
    <t>Brak programu warsztatów terapeutycznych oraz kadry prowadzącej (wraz z kwalifikacjami merytorycznymi).</t>
  </si>
  <si>
    <t>Obóz letni dla dorosłych</t>
  </si>
  <si>
    <t>Zimowisko dla dorosłych</t>
  </si>
  <si>
    <t>nie dotyczy</t>
  </si>
  <si>
    <t>1) 2) 3)</t>
  </si>
  <si>
    <t>Szkolenie dzieci i młodzieży w dziedzinie sportu i rekreacji.                                                   Organizacja imprez sportowo-rekreacyjnych.                                                                       Prowadzenie środowiskowych programów profilaktycznych w formie pozalekcyjnych zajęć sportowych.</t>
  </si>
  <si>
    <t xml:space="preserve">Polski Związek Chórów i Orkiestr o/śląski, Katowice ul. Plebiscytowa 17 </t>
  </si>
  <si>
    <t xml:space="preserve">Klub Inteligencji Katolickiej , Katowice ul. Ks.Szramka 2/13 </t>
  </si>
  <si>
    <t xml:space="preserve">Wspólnota Dobrego Pasterza, Katowice ul. Opolska 9 </t>
  </si>
  <si>
    <t xml:space="preserve">Stowarzyszenie Ogrody Teatru. Teatr Gry i Ludzie, Katowice al. Niepodległości 2  </t>
  </si>
  <si>
    <t xml:space="preserve">Śląskie Stowarzyszenie Artystów i Twórców SAT, Chorzów al. Muzyków 1 </t>
  </si>
  <si>
    <t>V Konferencja Edukacji Regionalnej "Wokół Białobrzeskiej Góry"</t>
  </si>
  <si>
    <t xml:space="preserve">Związek Górnośląski, Katowice ul. Stalmacha 17  </t>
  </si>
  <si>
    <t xml:space="preserve">Fundacja dla Śląska, Katowice ul. Warszawska 27 </t>
  </si>
  <si>
    <t>Przegląd zespołów regionalnych "Kalendarz Obrzędowy"</t>
  </si>
  <si>
    <t xml:space="preserve">Rzymsko-Katolicka Parafia św. Barbary, Katowice ul. Młodzieżowa 10 </t>
  </si>
  <si>
    <t>Prowadzenie środowiskowych programów profilaktycznych w formie pozalekcyjnych zajęć sportowych.</t>
  </si>
  <si>
    <t>Prowadzenie Środowiskowych Programów Profilaktycznych w formie pozalekcyjnych zajęć sportowych w wymienionych dyscyplinach - „Zapobieganie narkomanii”</t>
  </si>
  <si>
    <t>Prowadzenie Środowiskowych Programów Profilaktycznych w formie pozalekcyjnych zajęć sportowych w wymienionych dyscyplinach - „Przeciwdziałanie alkoholizmowi”</t>
  </si>
  <si>
    <t>01.01.2007-31.12.2007</t>
  </si>
  <si>
    <t>rozdz.85153 § 2820</t>
  </si>
  <si>
    <t xml:space="preserve">UKS DĄB 19, Katowice ul. Agnieszki 2 </t>
  </si>
  <si>
    <t>UKS JUNGA, Katowice ul. Morawa 19</t>
  </si>
  <si>
    <t>UKS KATOWICE, Katowice ul. Ordona 3D</t>
  </si>
  <si>
    <t>UKS KOKOCINIEC,  Katowice ul. Zielona 5</t>
  </si>
  <si>
    <t>UKS LIDER, Katowice ul.  Sportowa 29</t>
  </si>
  <si>
    <t>UKS MIKRUS, Katowice ul. Karliczka 15</t>
  </si>
  <si>
    <t>MUKS „NAPRZÓD JANÓW”, Katowice ul. Nałkowskiej 10</t>
  </si>
  <si>
    <t>UKS OLIMPIA, Katowice ul. Lompy 17</t>
  </si>
  <si>
    <t>ZUKS GKS KATOWICE, Katowice ul. Józefowska 40</t>
  </si>
  <si>
    <t>UKS SOKÓŁ 22, Katowice ul. Wolskiego 3</t>
  </si>
  <si>
    <t>UKS SPRINT, Katowice ul. Przyjazna 7A</t>
  </si>
  <si>
    <t>UKS C.HARTWIG, Katowice ul.  Krzywoustego 11</t>
  </si>
  <si>
    <t>UKS ŻACZEK, Katowice ul. Iłłakowiczówny 13</t>
  </si>
  <si>
    <t>rozdz. 85154 § 2820</t>
  </si>
  <si>
    <t>rozdz.85154 § 2820</t>
  </si>
  <si>
    <t>UKS „4”, Katowice ul. Trzech Stawów 10</t>
  </si>
  <si>
    <t xml:space="preserve">UKS „SP 27” , Katowice ul. Łętowskiego 18 </t>
  </si>
  <si>
    <t>UKS ARA, Katowice ul.Nasypowa 16</t>
  </si>
  <si>
    <t>MKKS GLORIA, Katowice ul. Lubiny 9</t>
  </si>
  <si>
    <t>UKS KARLIK, Katowice ul. Witosa 23</t>
  </si>
  <si>
    <t>UKS KUKUŁKI, Katowice ul. Kukułek 2A</t>
  </si>
  <si>
    <t>UKS LIDER, Katowice ul. Sportowa 29</t>
  </si>
  <si>
    <t>Oferta dotyczyła akcji o charakterze wyjazdowym.</t>
  </si>
  <si>
    <t>Akcja Zima 2007- organizacja zajęć sportowo-rekreacyjnych dla dzieci i młodzieży</t>
  </si>
  <si>
    <t>MUKS „Naprzód Janów”, Katowice ul. Nałkowskiej 10</t>
  </si>
  <si>
    <t>Górnośląski  KS „Murcki”, Katowice ul. Kołodzieja 42</t>
  </si>
  <si>
    <t>Fundacja Dla Śląska, K-ce ul. Warszawska 27</t>
  </si>
  <si>
    <t>Katowickie Stowarzyszenie Brydżowe „Senior”, Katowice ul. Sowińskiego 43/46</t>
  </si>
  <si>
    <t>HC „Katowice”, Katowice Al. Korfantego 35</t>
  </si>
  <si>
    <t>Polskie Towarzystwo Zapobiegania Narkomanii, Katowice ul. Warszawska 19</t>
  </si>
  <si>
    <t>Oferta nie spełniała oczekiwań komisji konkursowej co do zawartości merytorycznej oraz kwestii organizacyjnych.</t>
  </si>
  <si>
    <t>Zagłębiowskie Stowarzyszenie Turystyki Rowerowej, Sosnowiec ul. Jasieńskiego 4e</t>
  </si>
  <si>
    <t xml:space="preserve">Organizacja imprez sportowo - rekreacyjnych i turystycznych </t>
  </si>
  <si>
    <t>UKS „Spin”, Katowice ul. Szopienicka 13 d/7</t>
  </si>
  <si>
    <t>UKS „SP 27”, Katowice ul. Łętowskiego 18</t>
  </si>
  <si>
    <t>GKS „Katowice”, Katowice ul. Bukowa 1</t>
  </si>
  <si>
    <t>KS „Alpino”, Katowice ul. Baranowicza 8</t>
  </si>
  <si>
    <t>KS „VIS SPORT”, Katowice ul. Mikołowska 72 a</t>
  </si>
  <si>
    <t>UKS „Żaczek”, Katowice ul. Iłłkaowiczówny 13</t>
  </si>
  <si>
    <t>Nie spełniono wymogów formalnych – brak sprawozdania finansowego za rok 2006, brak podpisów pod dokumentami, zbyt ogólny charakter przedsięwzięcia – brak konkretnych danych.</t>
  </si>
  <si>
    <t>Oferta zawierała uchybienia formalne – brak podpisów pod niektórymi dokumentami, brak aktualnych umów z MOSiR-em na korzystanie z obiektów, zbyt ogólny charakter przedsięwzięcia oraz zbyt wysokie koszty.</t>
  </si>
  <si>
    <t>Fundacja dla Śląska, Katowice ul. Warszawska 27</t>
  </si>
  <si>
    <t>Katowicki Klub Jeździecki, Katowice ul. Francuska 180 a</t>
  </si>
  <si>
    <t>HC „Katowice”, Katowice, Al. Korfantego 35</t>
  </si>
  <si>
    <t>UKS „Jaskółka”, Katowice ul. Staszica 2</t>
  </si>
  <si>
    <t>Nazwa, adres podmiotu /organizacji/ realizującego zadanie</t>
  </si>
  <si>
    <t>Termin realizacji zadania</t>
  </si>
  <si>
    <t>klasyfikacja budżetowa</t>
  </si>
  <si>
    <t>Dysponent środków finansowych</t>
  </si>
  <si>
    <t>środki finansowe przeznaczone dla podmiotów na poszczególne zadania w ramach umów zawartych w oparciu o ustawę prawo zamówień publicznych zgodnie z planem finans. po zmianach</t>
  </si>
  <si>
    <t>Wyk. za okr. 01.01.2007 - 31.12.2007  (zadania w ramach umów zawartych w oparciu o ustawę prawo zamówień publicznych)</t>
  </si>
  <si>
    <t>środki finansowe przyznane podmiotom na poszczególne zadania w ramach umów zawartych na udzielenie dotacji</t>
  </si>
  <si>
    <t>Wyk. za okr. 01.01.2007 - 31.12.2007 (zadania w ramach umów zawartych na udzielenie dotacji)</t>
  </si>
  <si>
    <t>1. Pomoc społeczna w tym pomoc rodzinom i osobom w trudnej sytuacji życiowej oraz wyrównywanie szans tych rodzin i osób.</t>
  </si>
  <si>
    <t>1)</t>
  </si>
  <si>
    <t>Udzielanie schronienia, posiłku i niezbędnego ubrania.</t>
  </si>
  <si>
    <t>MOPS</t>
  </si>
  <si>
    <t>Udzielenie schronienia</t>
  </si>
  <si>
    <t>rozdz. 85295, §2820</t>
  </si>
  <si>
    <t>Ogrzewalnia</t>
  </si>
  <si>
    <t>Udzielenie posiłku</t>
  </si>
  <si>
    <t>rozdz. 85295, §2830</t>
  </si>
  <si>
    <t>Udzielenie ubrania</t>
  </si>
  <si>
    <t>Parafia Ewangelicko-Augsburska, Katowice ul. Warszawska 18</t>
  </si>
  <si>
    <t>rozdz. 85295, §2810</t>
  </si>
  <si>
    <t>2)</t>
  </si>
  <si>
    <t>Prowadzenie pracy socjalnej.</t>
  </si>
  <si>
    <t>Prowadzenie pracy socjalnej na rzecz osób starszych i niepełnosprawnych, w szczególności prowadzenie czterech Klubów Seniora.</t>
  </si>
  <si>
    <t>Polski Komitet Pomocy Społecznej Zarząd Okręgowy w Katowicach, Katowice ul. Kozielska 4a</t>
  </si>
  <si>
    <t>29.09.2004 - 31.08.2007</t>
  </si>
  <si>
    <t>rozdz. 85295,§2820</t>
  </si>
  <si>
    <t>Prowadzenie pracy socjalnej na rzecz osób starszych i niepełnosprawnych, w szczególności prowadzenie Klubu Seniora dla Osób Starszych.</t>
  </si>
  <si>
    <t>Katowickie Stowarzyszenie na Rzecz Osób Starszych, Niepełnosprawnych i Oczekujących Wsparcia "OPOKA", Katowice ul. M. Oblatów 24</t>
  </si>
  <si>
    <t>razem:</t>
  </si>
  <si>
    <t>rozdz. 85295,§2810</t>
  </si>
  <si>
    <t>rozdz. 85295,§2830</t>
  </si>
  <si>
    <t>3)</t>
  </si>
  <si>
    <t>Inicjatywy środowisk twórczych i inne (w tym festyny i imprezy regionalne).</t>
  </si>
  <si>
    <t>"Lato w mieście".</t>
  </si>
  <si>
    <t>Edukacja kulturalna dzieci i młodzieży.</t>
  </si>
  <si>
    <t>Promocja kulturalna miasta Katowice.</t>
  </si>
  <si>
    <t>4. Porządek, bezpieczeństwo publiczne oraz przeciwdziałanie patologiom społecznym.</t>
  </si>
  <si>
    <t>Konkurs Inicjatyw Kulturalnych Katowic.</t>
  </si>
  <si>
    <t>Wydział Kultury i Sportu</t>
  </si>
  <si>
    <t>Programy dla uczestników Poranków Edukacyjnych</t>
  </si>
  <si>
    <t>Koncerty edukacyjne pn. "To jest taki dom zaklęty.."</t>
  </si>
  <si>
    <t>Koncerty edukacyjne pn. "PZChiO dzieciom. Baw się i śpiewaj z nami"</t>
  </si>
  <si>
    <t>"Dajmy młodym alternatywę" - V rocznica klubu "Wysoki Zamek"</t>
  </si>
  <si>
    <t>"Śląskie Warsztaty Artystyczne"</t>
  </si>
  <si>
    <t>Konkurs na pracę plastyczną "Lux ex Silesia"</t>
  </si>
  <si>
    <t xml:space="preserve">Koncerty Górniczej Orkiestry Dętej "Katowice-Kleofas" </t>
  </si>
  <si>
    <t>Koncerty w wykonaniu chórów i orkiestr dętych</t>
  </si>
  <si>
    <t xml:space="preserve">Stowarzyszenie Muzyczno-Kulturalne GOD "Katowice-Kleofas" , Katowice  ul. Markiefki 44a </t>
  </si>
  <si>
    <t xml:space="preserve">Stowarzyszenie Kultury i Folkloru Ziem Polskich "Patria" , Katowice ul. Bankowa 12  </t>
  </si>
  <si>
    <t xml:space="preserve">Górnośląskie Towarzystwo Literackie, Katowice ul. Dworcowa 13  </t>
  </si>
  <si>
    <t xml:space="preserve">Rzymsko-Katolicka Parafia św. Antoniego z Padwy, Katowice al. Niepodległości 4 </t>
  </si>
  <si>
    <t>"Witraże Wiktora Ostrzołka" - wystawa w 50-lecie twórczości artysty</t>
  </si>
  <si>
    <t xml:space="preserve">Fundacja dla Śląska, Katowice ul. Warszawska 27  </t>
  </si>
  <si>
    <t xml:space="preserve">WSD Prowincji Wniebowzięcia NMP Zakonu Braci Mniejszych, Katowice  ul. Panewnicka 76  </t>
  </si>
  <si>
    <t xml:space="preserve">Pl. Forum Edukacji Europejskiej, Katowice ul. Sokolska 10a/4  </t>
  </si>
  <si>
    <t xml:space="preserve">Towarzystwo Przyjaciół NOSPR, Katowice Plac Sejmu Śl. 2 </t>
  </si>
  <si>
    <t xml:space="preserve">Katowickie Stowarzyszenie Na Rzecz Osób Starszych, Niepełnosprawnych i Oczekujących Wsparcia "Opoka", Katowice ul. M.Oblatów 24  </t>
  </si>
  <si>
    <t xml:space="preserve">Związek Polskich Artystów Plastyków o/Katowice, Katowice ul. Dworcowa 13  </t>
  </si>
  <si>
    <t xml:space="preserve">Klub Inteligencji Katolickiej, Katowice ul. Ks.Szramka 2/13  </t>
  </si>
  <si>
    <t xml:space="preserve">Stowarzyszenie Wzajemnej Pomocy "Bona Fides", Katowice ul. Boh.Monte Cassino 12/21                                                                                                         </t>
  </si>
  <si>
    <t xml:space="preserve">Klub Sportowy MK Górnik, Katowice ul. Bielska 1a  </t>
  </si>
  <si>
    <t>Oferta mało czytelna, zaproponowane przez organizację rozwiązania nie były rozwiązaniami nowatorskimi. Planowane działania pokrywały się z zakresem usług wykonywanym przez pracowników socjalnych Terenowych Punktów Pomocy Społecznej, jak i działaniami prowadzonymi przez inne instytucje, z którymi tutejszy Ośrodek już współpracuje.</t>
  </si>
  <si>
    <t>Nie spełniono wymogów formalnych – brak kserokopii REGONU, Statutu, oświadczenia o niezaleganiu z płatnościami na rzecz miasta Katowice, ZUS-u oraz Urzędu Skarbowego, kserokopii umów, stosownych oświadczeń co do sprawozdań – finansowego i merytorycznego</t>
  </si>
  <si>
    <t>Oferta nie spełniała wymogów formalnych - cele statutowe Fundacji nieadekwatne do zadania, brak dokumentacji potwierdzającej możliwość kształcenia obcokrajowócw według programów autoryzowanych przez Organizację Międzynarodowej Matury (IBO) lub innych organizacji tworzących sieci szkół międzynarodowych.</t>
  </si>
  <si>
    <t>Prowadzenie Świetlicy Środowiskowej (świetlica typu opiekuńczego oraz specjalistycznego)</t>
  </si>
  <si>
    <t>01.03.2005 – 29.02.2008</t>
  </si>
  <si>
    <t>01.05.2006 - 30.04.2009</t>
  </si>
  <si>
    <t>Prowadzenie Świetlicy Środowiskowej zwanej Klubem "Szansa dla każdego" ( Świetlica typu opiekuńczego)</t>
  </si>
  <si>
    <t xml:space="preserve">Stowarzyszenie "Szansa dla każdego", Katowice ul. 3-Maja 36/2 </t>
  </si>
  <si>
    <t>01.10.2005 - 31.12.2007</t>
  </si>
  <si>
    <t>Prowadzenie Świetlicy Socjoterapeutycznej „Gniazdo” (Świetlica typu specjalistycznego)</t>
  </si>
  <si>
    <t>Fundacja Dla Ludzi Potrzebujących Pomocy „Gniazdo”, Katowice ul. Morcinka 19a</t>
  </si>
  <si>
    <t>01.01.2006 – 31.12.2008</t>
  </si>
  <si>
    <t>rozdz. 85153, §4300</t>
  </si>
  <si>
    <t>Prowadzenie Młodzieżowego Klubu Wspierania Rozwoju Osobistego (Klub typu specjalistycznego)</t>
  </si>
  <si>
    <t>07.01.2005 – 31.12.2007</t>
  </si>
  <si>
    <t>7)</t>
  </si>
  <si>
    <t>Prowadzenie ośrodków wsparcia.</t>
  </si>
  <si>
    <t>Prowadzenie Dziennego Domu Pomocy Społecznej przy ul. Głogowskiej 23</t>
  </si>
  <si>
    <t>11.03.2005 - 10.03.2008</t>
  </si>
  <si>
    <t>rozdz. 85203,§4300</t>
  </si>
  <si>
    <t>Prowadzenie Dziennego Domu Pomocy Społecznej przy ul. Tysiąclecia 45</t>
  </si>
  <si>
    <t>Przygotowanie i prowadzenie na terenie miasta Katowice meczów finałowych Mistrzostw Europy mężczyzn Eurobasket 2009</t>
  </si>
  <si>
    <t>Polski Związek Koszykówki, Warszawa ul. E. Ciołka 10</t>
  </si>
  <si>
    <t>01.01.2007-31.12.2007.</t>
  </si>
  <si>
    <t>Prowadzenie Świetlicy Terapeutycznej im. św. Jacka</t>
  </si>
  <si>
    <t>Rzymsko - Katolicka Parafia św. Anny, Katowice pl. Wyzwolenia 21</t>
  </si>
  <si>
    <t>Katowickie Stowarzyszenie na Rzecz Osób Starszych, Niepełnosprawnych i Oczekujących Wsparcia "OPOKA" Katowice ul. M. Oblatów 24</t>
  </si>
  <si>
    <t>ORGANIZACJE POZARZĄDOWE-ZADANIA ZLECONE ORGANIZACJOM POZARZĄDOWYM NA PODSTAWIE PZP</t>
  </si>
  <si>
    <t>Wartość usług w 2007 r.</t>
  </si>
  <si>
    <t>RAZEM</t>
  </si>
  <si>
    <t>Prowadzenie Domu Noclegowego dla Mężczyzn</t>
  </si>
  <si>
    <t>UKS GLADIATOR 23, Katowice ul. Medyków 27</t>
  </si>
  <si>
    <t>Klub Inteligencji Katolickiej, Katowice Pl. Szramka 2</t>
  </si>
  <si>
    <t>Okręgowy Związek Gimnastyczny, Katowice ul. Mikołowska 26</t>
  </si>
  <si>
    <t>Śląskie Stowarzyszenie "Ad Vitam Dignam" Katowice ul. Korczaka 27</t>
  </si>
  <si>
    <t>Stowarzyszenie Działające na Rzecz Osób Chorych Psychicznie i Ich Rodzin "Przystań" Katowice ul. Tysiąclecia 41</t>
  </si>
  <si>
    <t>Fundacja na rzecz Edukacji, Profilaktyki i Terapii Uzależnień "Droga" , Katowice ul. Wandy 16</t>
  </si>
  <si>
    <t>Trzeźwościowe Stowarzyszenie Kulturalno - Turystyczne w Katowicach, Katowice Ks. Bpa Bednorza 22</t>
  </si>
  <si>
    <t>Śląskie Stowarzyszenie "Ad Vitam Dignam" - Ośrodek Interwencji Kryzysowej dla Rodzin z Problemem Alkoholowym, Katowice ul. Korczaka 27  (Ośrodek przy ul. Ks. Bpa Bednorza 22)</t>
  </si>
  <si>
    <t xml:space="preserve">Polski Czerwony Krzyż Zarząd Rejonowy w Katowicach,  Katowice ul. PCK 8                                </t>
  </si>
  <si>
    <t>Katolickie Centrum Edukacji "Kana", Katowice ul. ks. E. Szramka 7</t>
  </si>
  <si>
    <t>Przeciwdziałanie prostytucji i rozszerzaniu się postaw destrukcyjnych, agresywnych, aspołecznych w środowisku dzieci i młodzieży poprzez prowadzenie profilaktyki, pomocy terapeutycznej i szeroko rozumianego poradnictwa w środowisku osób zagrożonych - program: "Pomóc sobie".</t>
  </si>
  <si>
    <t>Stowarzyszenie i. M. Niepokalanej na Rzecz Pomocy Dziewczętom i Kobietom, Katowice ul. Krasińskiego 21</t>
  </si>
  <si>
    <t>Katolickie Centrum Edukacji "Kana",Katowice ul. ks. E. Szramka 7</t>
  </si>
  <si>
    <t>"Witraże Wiktora Ostrzołka" -wystawa w 50.lecie twórczości artysty</t>
  </si>
  <si>
    <t>"Dzień Kilara" - obchody 75.lecia urodzin W.Kilara</t>
  </si>
  <si>
    <t>GTL ul. Dworcowa 13 40-012 K-ce</t>
  </si>
  <si>
    <t>XX  Biennale Plakatu Polskiego</t>
  </si>
  <si>
    <t>Akademickie Wieczory Muzyczne</t>
  </si>
  <si>
    <t>Debiut poetycki Z. Skwarka</t>
  </si>
  <si>
    <t>Konkurs "BliżejTeatru"</t>
  </si>
  <si>
    <t>Wyd. 2 zeszytów pieśni chóralnych</t>
  </si>
  <si>
    <t>Wyd. "Złotej Księgi Budowy Pomnika J. Ziętka"</t>
  </si>
  <si>
    <t>Koncert okolicznościowy</t>
  </si>
  <si>
    <t>Sympozjum literackie</t>
  </si>
  <si>
    <t xml:space="preserve">Rzymsko-Katolicka Parafia św. Jacka, Katowice ul. Leśna 14  </t>
  </si>
  <si>
    <t xml:space="preserve">Górnośląskie Towarzystwo Literackie, Katowice ul. Dworcowa 13 </t>
  </si>
  <si>
    <t xml:space="preserve">Rzymsko-Katolicka Parafia Katedralna Chrystusa Króla, Katowice  ul. Plebiscytowa 49a </t>
  </si>
  <si>
    <t xml:space="preserve">Związek Polskich Artystów Plastyków o/Katowice, Katowice  ul. Dworcowa 13  </t>
  </si>
  <si>
    <t xml:space="preserve">Stowarzyszenie Lotników Polski Południowej al.Jana Pawła II 39, Katowice  </t>
  </si>
  <si>
    <t xml:space="preserve">Zrzeszenie Prawników Polskich o/Katowice, Katowice  ul. Warszawska 19  </t>
  </si>
  <si>
    <t xml:space="preserve">Rzymsko-Katolicka Parafia Podwyższ. Śwętego Krzyża i Matki Boskiej Uzdrowienia Chorych, Katowice ul. Mieszka I 6  </t>
  </si>
  <si>
    <t xml:space="preserve">Śląskie Stowarzyszenie Miłośników Folkloru, Katowice  ul. Gen.Hallera 28  </t>
  </si>
  <si>
    <t>Stowarzyszenie Sportowe  "LGKS 38 Podlesianka"</t>
  </si>
  <si>
    <t xml:space="preserve">Związek Górnośląski, Katowice  ul. Stalmacha 17 </t>
  </si>
  <si>
    <t xml:space="preserve">Towarzystwo Przyjaciół Archiwum, Katowice  ul. Józefowska 104  </t>
  </si>
  <si>
    <t xml:space="preserve">Społeczny Komitet Pamięci Poległych 16 grudnia 1981 r., Katowice ul. W.Pola 65  </t>
  </si>
  <si>
    <t xml:space="preserve">Śląskie Stowarzyszenie Artystów i Twórców SAT, Chorzów  Al. Muzyków 1 </t>
  </si>
  <si>
    <t xml:space="preserve">GTL, Katowice ul.Dworcowa  13 </t>
  </si>
  <si>
    <t xml:space="preserve">Górnośląskie Towarzystwo Literackie, Katowice  ul. Dworcowa 13  </t>
  </si>
  <si>
    <t xml:space="preserve">Towarzystwo Kultury Teatralnej o/województwa Śląskiego, Katowice  ul. Św. Jana 10  </t>
  </si>
  <si>
    <t>wydanie 2 zeszytów pieśni chóralnych</t>
  </si>
  <si>
    <t>wydanie "Złotej Księgi Budowy Pomnika J.Ziętka"</t>
  </si>
  <si>
    <t xml:space="preserve">Społeczny Komitet Pamięci Poległych 16 grudnia 1981 r., Katowice  ul. W.Pola 65  </t>
  </si>
  <si>
    <t xml:space="preserve">Ośrodek św. Jacka Caritas Archidiecezji Katowickiej,  Katowice ul. Dębowa 23                      </t>
  </si>
  <si>
    <t xml:space="preserve">Stowarzyszenie Muzyczno-Kulturalne GOD "Katowice-Kleofas", Katowice ul. Markiefki 44a </t>
  </si>
  <si>
    <t xml:space="preserve">Towarzystwo Społeczno Kulturalne Niemców Woj. Śląskiego, Katowice ul.Warszawska 19 </t>
  </si>
  <si>
    <t xml:space="preserve">Rzymsko - Katolicka Parafia Wniebowzięcia NMP, Katowice ul. Graniczna 26 </t>
  </si>
  <si>
    <t>Wyjazd Chóru Mieszanego do Wiednia; wyjazd Orkiestry Dętej KWK "Murcki" na Węgry</t>
  </si>
  <si>
    <t>Obchody 95-lecia Chóru Męskiego "Hejnał"</t>
  </si>
  <si>
    <t xml:space="preserve">Polski Związek Chórów i Orkiestr o/śląski,  Katowice ul. Plebiscytowa 17 </t>
  </si>
  <si>
    <t>Polski Związek Chórów i Orkiestr o/śląski, Katowice ul. Plebiscytowa 17</t>
  </si>
  <si>
    <t xml:space="preserve">Towarzystwo Wspierania Twórczości Dziecięcej "Słoneczni", Katowice  al. W.Korfantego 8  </t>
  </si>
  <si>
    <t>Koncert Orkiestry Dętej KWK "Murcki" na uroczystościach 750-lecia Chorzowa</t>
  </si>
  <si>
    <t xml:space="preserve">Fundacja na Rzecz Wspierania Rozwoju Dzieci i Młodzieży Artystycznie Uzdolnionej "Barbórka", Katowice ul. Piastów 20  </t>
  </si>
  <si>
    <t>Uczestnictwo zespołu "Ślązaczek" w Międzynarodowym Festiwalu Folklorystycznym "Eurograde" w Bułgarii</t>
  </si>
  <si>
    <t xml:space="preserve">Stowarzyszenie Czasu Wolnego Dzieci i Młodzieży, Katowice  ul. Mikołowska 26  </t>
  </si>
  <si>
    <t xml:space="preserve">Fundacja Muzyczna Międzynarodowego Konkursu Dyrygentów im. G.Fitelberga, Katowice ul. Sokolska 2  </t>
  </si>
  <si>
    <t xml:space="preserve">Stowarzyszenie Wychowanków VIII LO im. M. Skłodowskiej-Curie, Katowice ul. 3-go Maja 42 </t>
  </si>
  <si>
    <t xml:space="preserve">Związek Polskich Artystów Fotografików o/śląski, Katowice ul. Warszawska 5  </t>
  </si>
  <si>
    <t xml:space="preserve">Stowarzyszenie Aktywne Kobiety, Sosnowiec al. Zwycięstwa 17                                                                                                           </t>
  </si>
  <si>
    <t xml:space="preserve">Stowarzyszenie Architektów Polskich o/Katowice, Katowice  ul. Dyrekcyjna 9 </t>
  </si>
  <si>
    <t xml:space="preserve">Stowarzyszenie TE.art, Katowice ul. Ligonia 30  </t>
  </si>
  <si>
    <t xml:space="preserve">Związek Polskich Artystów Plastyków o/Katowice, Katowice ul. Dworcowa 13 </t>
  </si>
  <si>
    <t xml:space="preserve">Związek Polskich Artystów Fotografików o/śląski, Katowice  ul. Warszawska 5  </t>
  </si>
  <si>
    <t xml:space="preserve">Śląskie Towarzystwo Muzyczne, Katowice  ul. Dąbrówki 15/8  </t>
  </si>
  <si>
    <t xml:space="preserve">Śląskie Centrum Profilaktyki i Psychoterapii, Katowice  ul. Powstańców 21  </t>
  </si>
  <si>
    <t xml:space="preserve">Komenda Hufca ZHP w Katowicach im. Boh. Wieży Spadochronowej, Katowice ul. Barbary 25a  </t>
  </si>
  <si>
    <t xml:space="preserve">Rada Okręgowa Zrzeszenia Studentów Polskich w Katowicach, Katowice  ul. Św. Jana 10  </t>
  </si>
  <si>
    <t>KS VIS-SPORT,  Katowice ul. Mikołowska 72A</t>
  </si>
  <si>
    <t>WSSiRN START CHORZÓW, Chorzów ul. Katowicka  10</t>
  </si>
  <si>
    <t>UKS ŻACZEK,  Katowice ul. Iłłakowiczówny 13</t>
  </si>
  <si>
    <t>UKS 06 KATOWICE-POŁUDNIE,  Katowice ul. Boya - Żeleńskiego 26</t>
  </si>
  <si>
    <t>WOPR,  Katowice Al. Korfantego 66/6</t>
  </si>
  <si>
    <t>Organizacja imprez sportowo - rekreacyjnych i turystycznych.</t>
  </si>
  <si>
    <t>Dzień Dziecka w Ogrodach Kurii -</t>
  </si>
  <si>
    <t>Szkolenie i Turniej w Petanque -</t>
  </si>
  <si>
    <t xml:space="preserve">rozdz.85154, § 2820 </t>
  </si>
  <si>
    <t xml:space="preserve">Grupa terapeutyczna w formie oddziału dziennego dla osób ze znacznymi deficytami w funkcjonowaniu społecznym - podopiecznych katowickiego MOPS   </t>
  </si>
  <si>
    <t>rozdz. 85154 § 4300</t>
  </si>
  <si>
    <t>01.03.2007 -31.12.2007</t>
  </si>
  <si>
    <t>26.11.2007 -31.12.2007</t>
  </si>
  <si>
    <t>01.04.2007 - 31.07.2007</t>
  </si>
  <si>
    <t>05.03.2007 -31.12.2007</t>
  </si>
  <si>
    <t>15.05.2007 -14.12.2007</t>
  </si>
  <si>
    <t>30.04.2007 -05.05.2007</t>
  </si>
  <si>
    <t>23.04.2007 -17.12.2007</t>
  </si>
  <si>
    <t>rozdz. 85153 § 2820</t>
  </si>
  <si>
    <t>Katowickie Stowarzyszenie Trzeźwościowe "Dwójka", Katowice ul.ks. Bpa Bednorza 22</t>
  </si>
  <si>
    <t>Katowickie Stowarzyszenie Trzeźwościowe "Dwójka",  Katowice ul.ks. Bpa Bednorza 22</t>
  </si>
  <si>
    <t>Fundacja na rzecz Edukacji, Profilaktyki i Terapii Uzależnień "Droga", Katowice ul. Wandy 16</t>
  </si>
  <si>
    <t xml:space="preserve">rozdz.85154, § 2810 </t>
  </si>
  <si>
    <t xml:space="preserve">rozdz.85154, § 2830 </t>
  </si>
  <si>
    <t xml:space="preserve"> Zajęcia edukacyjno-profilaktyczne "Narkotyki i nastolatki" dla rodziców i nauczycieli</t>
  </si>
  <si>
    <t xml:space="preserve">Prowadzenie Środowiskowego Domu Samopomocy przy ul. Brata Alberta 4 </t>
  </si>
  <si>
    <t>31.09.2007 - 31.10.2012</t>
  </si>
  <si>
    <t>rozdz. 85203,§ 6230 rozdz. 85203 § 2830</t>
  </si>
  <si>
    <t>rozdz. 85203</t>
  </si>
  <si>
    <t>Rodzinny Trzeźwościowy Festyn Integracyjny</t>
  </si>
  <si>
    <t>Klub Profilaktyczno-Wychowawczy dla Młodzieży "Oratorium"</t>
  </si>
  <si>
    <t>UKS SOKÓŁ, Katowice ul. Brynicy 7</t>
  </si>
  <si>
    <t>UKŁ SPIN, Katowice ul. Szopienicka 13d/7</t>
  </si>
  <si>
    <t>Organizacja imprez sportowo - rekreacyjnych i turystycznych</t>
  </si>
  <si>
    <t>KS "Kolejarz", Katowice ul. Alfreda 1</t>
  </si>
  <si>
    <t xml:space="preserve">Stowarzyszenie Wspomagania Twórczości i Rozwoju Osób Niepełnosprawnych "Unikat", Katowice ul. Kotlarza 10b  </t>
  </si>
  <si>
    <t xml:space="preserve">Rzymsko-Katolicka Parafia św. Rodziny, Katowice  ul. Z.Kossak 24  </t>
  </si>
  <si>
    <t xml:space="preserve">Stowarzyszenie Przyjaciół Filharmonii Śląskiej, Katowice ul. Sokolska 2  </t>
  </si>
  <si>
    <t xml:space="preserve">Śląski Klub Fantastyki, Katowice ul. Górnika 5  </t>
  </si>
  <si>
    <t xml:space="preserve">Stowarzyszenie "Ychtis", Katowice  ul. Gliwicka 288  </t>
  </si>
  <si>
    <t xml:space="preserve">Stowarzyszenie Animatorów Profilaktyki "Razem dla Trzeźwości", Ruda Śląska ul. Bujoczka 12  </t>
  </si>
  <si>
    <t xml:space="preserve">Stowarzyszenie "Ogrody Teatru", Katowice al. Niepodległości 2  </t>
  </si>
  <si>
    <t xml:space="preserve">Stowarzyszenie "Ychtis", Katowice ul. Gliwicka 288  </t>
  </si>
  <si>
    <t xml:space="preserve">Śląskie Stowarzyszenie Miłośników Folkloru, Katowice ul. Gen.Hallera 28 </t>
  </si>
  <si>
    <t xml:space="preserve">Stowarzyszenie Ekologiczno - Zdrowotne, Katowice ul. Piastowska 5/3 </t>
  </si>
  <si>
    <t xml:space="preserve">Fundacja "Młoda Muzyka Śląska", Katowice  ul. Piaskowska 4/1  </t>
  </si>
  <si>
    <t xml:space="preserve">Związek Kompozytorów Polskich, Katowice  ul. Zacisze 3 </t>
  </si>
  <si>
    <t xml:space="preserve">Śląskie Stowarzyszenie "Ad Vitam Dignam", Katowice ul. Korczaka 27  </t>
  </si>
  <si>
    <t xml:space="preserve">Śląskie Stowarzyszenie "Ad Vitam Dignam", Katowice  ul. Korczaka 27  </t>
  </si>
  <si>
    <t xml:space="preserve">RAZEM </t>
  </si>
  <si>
    <t>Wyjazd Chóru "Modus Vivendi" na Festiwal Pieśni i Muzyki w Grecji</t>
  </si>
  <si>
    <t>Wyjazd na polsko-niemiecki festyn "Europa - kraina dzieci" w Zgorzelcu</t>
  </si>
  <si>
    <t>Udział ZPiT "Tysiąclatki" w Międzynarodowym Festiwalu Folkloru "Promorsko 2007"</t>
  </si>
  <si>
    <t>Koncert Chóru Synagogalnego z Lipska</t>
  </si>
  <si>
    <t>VIII Międzynarodowy Konkurs Dyrygentów im. G.Fitelberga</t>
  </si>
  <si>
    <t>X Wieczory z Muzyką Karola Szymanowskiego</t>
  </si>
  <si>
    <t>06.-29. III 07.</t>
  </si>
  <si>
    <t>Prezentacja fotografii sprzed lat "Jan Zegalski - zapisków ciąg dalszy"</t>
  </si>
  <si>
    <t>11 Rozwojowo - Rozrywkowy Festiwal dla Kobiet "Progresteron"</t>
  </si>
  <si>
    <t>"Krzysztof Penderecki - Przestrzenie Sztuki"</t>
  </si>
  <si>
    <t>Stowarzyszenie DOM SAINT ETIENNE w Katowicach, Katowice ul.  Różyckiego</t>
  </si>
  <si>
    <t>11-16.06.2007;      23.06.2007-25.08.2007</t>
  </si>
  <si>
    <t xml:space="preserve">VI Puchar Prezydenta Miasta Katowice - Turniej Szachowy </t>
  </si>
  <si>
    <t>KS HETMAN SZOPIENICE, Katowice ul.  Hallera 28</t>
  </si>
  <si>
    <t xml:space="preserve">Zawody Sportowe z okazji "Dni Szopienic" </t>
  </si>
  <si>
    <t>UKS SOKÓŁ 43, Katowice ul.  Brynicy 7</t>
  </si>
  <si>
    <t>16-20.06.2007</t>
  </si>
  <si>
    <t>7-8.09.2007</t>
  </si>
  <si>
    <t>Rzymsko-Katolicka Parafia  św. Ap. Piotra i Pawła, Katowice ul. Mikołowska 32</t>
  </si>
  <si>
    <t>Towatrzystwo Pomocy im. św. Brata Alberta - Koło Katowice, Katowice  ul. Sądowa 1</t>
  </si>
  <si>
    <t>Towatrzystwo Pomocy im. św. Brata Alberta - Koło Katowice, Katowice ul. Sądowa 1</t>
  </si>
  <si>
    <t>Rzymsko-Katolicka  Parafia Niepokalanego Poczęcia NMP, Katowice Pl. Szramka 1</t>
  </si>
  <si>
    <t>Górnośląskie Towarzystwo Charytatywne, Katowice  ul. Sienkiewicza 23</t>
  </si>
  <si>
    <t>Chrześcijańska Organizacja Charytatywna "TABITA", Katowice ul. Gliwicka 87</t>
  </si>
  <si>
    <t>Polski Komitet Pomocy Społecznej, Katowice ul. Kozielska 4a</t>
  </si>
  <si>
    <t>Projekt: "Z ulicy do domu"</t>
  </si>
  <si>
    <t>Projekt: "Z angielskim za pan brat"</t>
  </si>
  <si>
    <t>Projekt: "Prowadzenie pracy socjalnej z młodzieżą z rodzin dysfunkcyjnych"</t>
  </si>
  <si>
    <t>Katolicka Fundacja Dzieciom, Katowice ul. Kilińskiego 15</t>
  </si>
  <si>
    <t>Realizacja kompleksowego programu profilaktyczno-interwencyjnego dla młodzieży narażonej na kontakt z narkotykami i zakażonej wirusem HIV oraz dla osób ponoszących konsekwencje tych zagrożeń</t>
  </si>
  <si>
    <t>Rzymsko - Katolicka Parafia św. Barbary,  Katowice ul. Młodzieżowa 10</t>
  </si>
  <si>
    <t>Śląskie Towarzystwo "POMOST"", Chorzów ul. Katowicka 57/3</t>
  </si>
  <si>
    <t>Stowarzyszenie "Atywne Życie", Katowice ul. Bronisłąwy 30/1</t>
  </si>
  <si>
    <t>Sympozjum "Gdy Śląsk wracał do Polski"</t>
  </si>
  <si>
    <t>Festyn Parafii Katedralnej</t>
  </si>
  <si>
    <t>Plener Malarsko - Graficzny Katowice 2007</t>
  </si>
  <si>
    <t>"Biesiada Śląska"</t>
  </si>
  <si>
    <t>"Szkice Archiwalno - Historyczne"</t>
  </si>
  <si>
    <t>Ogólnopolski konkurs na esej i utwór poetycki org. z okazji 15.lecia GTL</t>
  </si>
  <si>
    <t>Obchody Dnia Strażaka 2007</t>
  </si>
  <si>
    <t>UKS „Ara”, K-ce ul. Nasypowa 16</t>
  </si>
  <si>
    <t>Górnośl. Oddział PTTK, K-ce ul. Staromiejska 4</t>
  </si>
  <si>
    <t>UKS „Kukułki”, K-ce ul. Kukułek 2a</t>
  </si>
  <si>
    <t>MKS „Pałac Młodzieży”, K-ce ul. Mikołowska 26</t>
  </si>
  <si>
    <t>UKS „Pik”</t>
  </si>
  <si>
    <t>Śl. Związek Szermierczy, K-ce, ul. Alfreda 1</t>
  </si>
  <si>
    <t>Organizacja Środowiskowa AZS, K-ce ul. Dworcowa 15</t>
  </si>
  <si>
    <t>UKS „Karlik”, K-ce ul. Witosa 23</t>
  </si>
  <si>
    <t>Polski Związek Koszykówki,  Warszawa E. Ciołka 10</t>
  </si>
  <si>
    <t>UKS „Dąb 19”, K-ce, ul. Agnieszki 2</t>
  </si>
  <si>
    <t>MUKS „Naprzód Janów”, K-ce ul. Nałkowskiej 10</t>
  </si>
  <si>
    <t>UKS „Kokociniec 67”, K-ce ul. Zielona 5</t>
  </si>
  <si>
    <t>UKS „Mikrus”, K-ce ul. Karliczka 15</t>
  </si>
  <si>
    <t>UKS „Hartwig”, K-ce ul. Krzywoustego 11</t>
  </si>
  <si>
    <t>UKS „Olimpia”, K-ce ul. Lompy 17</t>
  </si>
  <si>
    <t>UKS „Lider”, K-ce ul. Sportowa 29</t>
  </si>
  <si>
    <t>MKS MOS, K-ce ul. Paderewskiego 46a</t>
  </si>
  <si>
    <t>UKS „Pałac Młodzieży”, K-ce ul. Mikołowska 26</t>
  </si>
  <si>
    <t>MKKS „Gloria”, K-ce ul. Lubiny 9</t>
  </si>
  <si>
    <t>UKS „SP 27”, K-ce ul. Łętowskiego 18</t>
  </si>
  <si>
    <t>UKS „Omega”, K-ce, ul. Wojciecha 9</t>
  </si>
  <si>
    <t>UKS „Szopienice”, K-ce ul. 11-go Listopada 13</t>
  </si>
  <si>
    <t>UKS „Tornado”, K-ce,ul. Marcinkowskiego 17</t>
  </si>
  <si>
    <t>UKS „Carramba”, K-ce ul. Tysiąclecia 68/37</t>
  </si>
  <si>
    <t>Fundacja Oświatowa ,,Szkoła jak Dom",Katowice ul. Witosa 18</t>
  </si>
  <si>
    <t>XV Festiwal Muzyki Kameralnej "Kwartet Śląski i jego Goście"</t>
  </si>
  <si>
    <t>Wystawa indywidualna K.Gawrych-Olender "Twarz -przemijanie,rzeczywistość"</t>
  </si>
  <si>
    <t>Koncert kompozytorski Ryszarda Gabrysia</t>
  </si>
  <si>
    <t>Wieczór autorski literata i publicysty Alojzego Lyski</t>
  </si>
  <si>
    <t>XX Międzynarodowy Studencki Festiwal Folklorystyczny</t>
  </si>
  <si>
    <t>II Katowicki Piknik Lotniczy</t>
  </si>
  <si>
    <t>XI Dni Szopienic</t>
  </si>
  <si>
    <t>V Festyn Parafialny</t>
  </si>
  <si>
    <t>Festyn w Podlesiu</t>
  </si>
  <si>
    <t>Kat. Klub Jeździecki, K-ce ul. Francuska 180 a</t>
  </si>
  <si>
    <t>KS „06 Kleofas”, K-ce ul. Obroki 43</t>
  </si>
  <si>
    <t>KS „Kolejarz 24”, K-ce ul. Alfreda 1</t>
  </si>
  <si>
    <t>KKS „Mickiewicz”, K-ce, ul. Mickiewicza 11</t>
  </si>
  <si>
    <t>LGKS „38 Podlesianka”, K-ce ul. Sołtysia 25</t>
  </si>
  <si>
    <t>KS „Rozwój”, K-ce, ul. Zgody 28</t>
  </si>
  <si>
    <t>BKS „Sparta”, K-ce ul. Żeromskiego 4/1</t>
  </si>
  <si>
    <t>WSSiRN „Start”, Chorzów ul. Katowicka 10</t>
  </si>
  <si>
    <t>ŚKK „Kyokushin Karate”, K-ce ul. Tysiąclecia 92/1</t>
  </si>
  <si>
    <t>Śl. Tow. Sportowe, K-ce ul. Ceglana 67</t>
  </si>
  <si>
    <t>KŚ AZS Środowisko, K-ce ul. Dworcowa 15</t>
  </si>
  <si>
    <t>KU AZS „Uniwersytet Śląski”, K-ce ul. Bankowa 14</t>
  </si>
  <si>
    <t>WOPR – Oddział Miejski, K-ce, Al. Korfantego 66/6</t>
  </si>
  <si>
    <t>KS „VIS SPORT”, K-ce ul. Mikołowska 72 a</t>
  </si>
  <si>
    <t>KS „Bumeikan”, K-ce ul. Szenwalda 38 c/24</t>
  </si>
  <si>
    <t>KS „Stadion Śląski”, Chorzów ul. Katowicka 10</t>
  </si>
  <si>
    <t>Śl. Klub Curlingowy, K-ce ul. Sandomierska 21/25</t>
  </si>
  <si>
    <t>Stow. Shidokan Emers Team, K-ce ul. Piastów 3/181</t>
  </si>
  <si>
    <t>HC „Katowice”, K-ce, Al. Korfantego 35</t>
  </si>
  <si>
    <t>Stow. Symp. Klubu „GKS Katowice” GIEKSA,                     K-ce, ul. Bukowa 1</t>
  </si>
  <si>
    <t>AS „Muay Thai”, K-ce, ul. Narutowicz 5/13</t>
  </si>
  <si>
    <t>Pol. Tow. Zapobiegania Narkomanii,                                     K-ce ul. Warszawska 19</t>
  </si>
  <si>
    <t>KS „Alpino”, K-ce ul. Baranowicza 8</t>
  </si>
  <si>
    <t>Górnośl. KS „Murcki”, K-ce ul. Kołodzieja 42</t>
  </si>
  <si>
    <t>Kat. KS „Naprzód Janów”, K-ce ul. Nałkowskiej 10</t>
  </si>
  <si>
    <t>Kat. Stow. Brydżowe „Senior” , k-ce ul. Sowińskiego 43/46</t>
  </si>
  <si>
    <t>Stow. Przewod. Górskich, K-ce ul. Sienkiewicza 46/9</t>
  </si>
  <si>
    <t xml:space="preserve">Parafia Rzymsko- Katolicka przy Klasztorze Franciszkanów, K-ce ul. Panwenicka 76 </t>
  </si>
  <si>
    <t>FUNDACJA DLA ŚLĄSKA,          K-ce ul. Warszawska 27</t>
  </si>
  <si>
    <t>UKS „Katowice” przy SP 62, K-ce ul. Ordona 3 d</t>
  </si>
  <si>
    <t>UKS „Junga”, K-ce Morawa 119</t>
  </si>
  <si>
    <t>ZUKS „GKS Katowice”- dawny Orzeł , K-ce ul. Józefowska 40</t>
  </si>
  <si>
    <t>Fundacja Na Rzecz Dzieci „Miasteczko Śląskie”, Miasteczko Śląskie ul. Woźnicka 36</t>
  </si>
  <si>
    <t>Polskie Towarzystwo Oświaty Zdrowotnej Oddział Terenowy w Katowicach, Katowice ul. Raciborska 39</t>
  </si>
  <si>
    <t>Zimowisko integracyjno-wypoczynkowe grupy dziecięco młodzieżowej  " Małe Ciche"</t>
  </si>
  <si>
    <t>Rzymsko-Katolicka Parafia św. Szczepana, Katowice ul. Markiefki 89</t>
  </si>
  <si>
    <t>Ośrodek św. Jacka Caritas Archidiecezji Katowickiej , Katowice ul. Dębowa 23</t>
  </si>
  <si>
    <t>Prowadzenie Dziennego Domu Pobytu dla Seniorów "Symeonówka" przy ul. Brata Alberta 4</t>
  </si>
  <si>
    <t>Utworzenie i prowadzenie Klubu Integracji Społecznej</t>
  </si>
  <si>
    <t>Towarzystwo Rodzin i Przyjaciół Dzieci Uzależnionych "Powrót z U"  - Oddział Wojewódzki, Katowice ul. Młyńska 21/23</t>
  </si>
  <si>
    <t>Poradnictwo trzeźwościowe oraz warsztaty terapeutyczne ( "Nawroty w uzależnieniu", "Syndrom wypalenia", "Trening asertywności -nauka konstruktywnych zachowań", "Umiejętność rozpoznawania i radzenia sobie z emocjami"</t>
  </si>
  <si>
    <t>Zimowisko integracyjno-wypoczynkowe grupy dziecięco-młodzieżowej  " Małe Ciche"</t>
  </si>
  <si>
    <t>Trzeźwościowe Stowarzyszenie Kulturalno - Turystyczne w Katowicach, Katowice ul. Ks. Bpa Bednorza 22</t>
  </si>
  <si>
    <t>Punkt informacyjno-konsultacyjny: porady i konsultacje terapeutyczne, psychologiczne, prawne, dyżury przy telefonie zaufania</t>
  </si>
  <si>
    <t>Śląskie Stowarzyszenie "Ad Vitam Dignam" - Ośrodek Interwencji Kryzysowej dla Rodzin z Problemem Alkoholowym,  Katowice ul. Korczaka 27  (Ośrodek przy ul. Ks. Bpa Bednorza 22)</t>
  </si>
  <si>
    <t xml:space="preserve">Stowarzyszenie Producentów i Dziennikarzy Radiowych    Poznań, ul. Murna 3 </t>
  </si>
  <si>
    <t>"Ku dojrzałości…" - program profilaktyczno-edukacyjny dla młodzieży w wieku 14-18 lat</t>
  </si>
  <si>
    <t>Współorganizowanie etapu rejonowego Olimpiady Promocji Zdrowego Stylu Życia "ESKULAPIADA 2007"</t>
  </si>
  <si>
    <t xml:space="preserve">"Świat, który ciągle poznajemy…" -  program profilaktyczno-edukacyjny dla studentów </t>
  </si>
  <si>
    <t>01.04.2007-30.04.2007</t>
  </si>
  <si>
    <t xml:space="preserve">"Mądrze decydować…" - program profilaktyczno-edukacyjny dla młodzieży, studentów i rodziców  </t>
  </si>
  <si>
    <t>Polskie Towarzystwo Zapobiegania Narkomanii - Oddział w Katowicach, Katowice ul.Warszawska 19</t>
  </si>
  <si>
    <t>Edukacja zdrowotna młodzieży szansą na lepsze zdrowie w dorosłym życiu – przygotowanie do programu profilaktyki nowotworów złośliwych – opracowanie poradnika.</t>
  </si>
  <si>
    <t>4)</t>
  </si>
  <si>
    <t xml:space="preserve">Edukacja zdrowotna młodzieży szansą na lepsze zdrowie w dorosłym życiu – warsztaty szkoleniowe dla nauczycieli i dyrektorów szkół ponadpodstawowych miasta Katowice. </t>
  </si>
  <si>
    <t>5)</t>
  </si>
  <si>
    <t>Szkolenia z zakresu pierwszej pomocy przedmedycznej dla uczniów katowickich szkół gimnazjalnych.</t>
  </si>
  <si>
    <t>RAZEM:</t>
  </si>
  <si>
    <t>2. Ochrona i promocja zdrowia</t>
  </si>
  <si>
    <t>rozdz. 85149 § 2810</t>
  </si>
  <si>
    <t xml:space="preserve"> rozdz. 85149 § 2810 </t>
  </si>
  <si>
    <t>rozdz 85149 § 2820</t>
  </si>
  <si>
    <t>rozdz. 85149 § 2820</t>
  </si>
  <si>
    <t xml:space="preserve">Fundacja Na Rzecz Dzieci „ Miasteczko Śląskie”, Miasteczko Śląskie ul. Woźnicka 36 </t>
  </si>
  <si>
    <t>Chrześcijańska Organizacja Charytatywna "TABITA",  Katowice ul.Gliwicka 87</t>
  </si>
  <si>
    <t>Górnośląskie Towarzystwo Charytatywne, Katowice ul. Sienkiewicza 23</t>
  </si>
  <si>
    <t>Polski Komitet Pomocy Społecznej,  Katowice ul. Kozielska 4a</t>
  </si>
  <si>
    <t xml:space="preserve">01.04.2007 - 31.12.2007 </t>
  </si>
  <si>
    <t xml:space="preserve">01.12.2007 -31.03.2008 </t>
  </si>
  <si>
    <t xml:space="preserve">01.04.2004 -31.03.2007 </t>
  </si>
  <si>
    <t xml:space="preserve">01.04.2007 -30.04.2009 </t>
  </si>
  <si>
    <t xml:space="preserve">14.11.2005 -30.04.2009 </t>
  </si>
  <si>
    <t xml:space="preserve">20.01.2006 - 19.01.2011 </t>
  </si>
  <si>
    <t xml:space="preserve">26.02.2007 - 19.01.2011 </t>
  </si>
  <si>
    <t xml:space="preserve">01.01.2007 - 31.12.2009 </t>
  </si>
  <si>
    <t>Stowarzyszenie im. M. Niepokalanej na Rzecz Pomocy Dziewczętom i Kobietom, Katowice ul. Krasińskiego 21</t>
  </si>
  <si>
    <t xml:space="preserve">01.01.2005 - 31.12.2007 </t>
  </si>
  <si>
    <t xml:space="preserve">01.01.2006 - 31.12.2008 </t>
  </si>
  <si>
    <t xml:space="preserve">15.09.2004 – 31.08.2007 </t>
  </si>
  <si>
    <t>Liga Kobiet Polskich Zarząd Regionu w Katowicach, Katowice ul. Młyńska 21</t>
  </si>
  <si>
    <t>Stowarzyszenie Psychologów Chrześcijańskich, Katowice ul. Chopina 6/6</t>
  </si>
  <si>
    <t xml:space="preserve">01.03.2005 -30.04.2009 </t>
  </si>
  <si>
    <t xml:space="preserve">01.04.2005 -30.04.2009 </t>
  </si>
  <si>
    <t xml:space="preserve">26.08.2005 - 25.08.2008 </t>
  </si>
  <si>
    <t>Instytut Współpracy i Partnerstwa Lokalnego, Katowice ul. Żwirki i Wigóry 14/3</t>
  </si>
  <si>
    <t>07.09.2005 - 31.12.2007</t>
  </si>
  <si>
    <t>Katowickie Stowarzyszenie na Rzecz Osób Starszych Niepłnosprawnych i Oczekujących Wsparcia OPOKA, Katowice ul. Oblatów 24</t>
  </si>
  <si>
    <t>Krajowe Forum Bezrobotnych, Katowice ul. Koszalińska 36/13</t>
  </si>
  <si>
    <t xml:space="preserve">02.04.2007-07.12.2007 </t>
  </si>
  <si>
    <t xml:space="preserve">Polskie Towarzystwo Oświaty Zdrowotnej Oddział Terenowy w Katowicach, Katowice ul. Raciborska 39 </t>
  </si>
  <si>
    <t>02.04.2007-07.12.2007</t>
  </si>
  <si>
    <t>01.04.2007-30.09.2007</t>
  </si>
  <si>
    <t>01.05.2007-31.05.2007</t>
  </si>
  <si>
    <t>16-17.05.2007</t>
  </si>
  <si>
    <t>16-30.06.2007</t>
  </si>
  <si>
    <t>21. 08.2007-                                                                                                                                                02. 09.2007</t>
  </si>
  <si>
    <t>16-25.11.2007</t>
  </si>
  <si>
    <t>17-18.03.2007,                                                                                                                                           24-25.03.2007</t>
  </si>
  <si>
    <t>19. 03.2007-                                                                                                                                               16. 04.2007</t>
  </si>
  <si>
    <t>31. 03.2007-                                                                                                                                                 01. 04.2007</t>
  </si>
  <si>
    <t>01.04.2007-30.06.2007</t>
  </si>
  <si>
    <t>01-29.04.2007</t>
  </si>
  <si>
    <t>01. 04.2007-                                                                                                                                                15. 12.2007</t>
  </si>
  <si>
    <t>19-22. 04.2007</t>
  </si>
  <si>
    <t>01.06.2007-30.06.2007</t>
  </si>
  <si>
    <t>08-10.06.2007</t>
  </si>
  <si>
    <t>10. 04.2007-                                                                                                                                                10. 07.2007</t>
  </si>
  <si>
    <t>01.07.2007-30.11.2007</t>
  </si>
  <si>
    <t>01.09.2007-30.09.2007</t>
  </si>
  <si>
    <t>01.10.2007-31.12.2007</t>
  </si>
  <si>
    <t>10 - 30.10.2007</t>
  </si>
  <si>
    <t>01.06.2007-31.12.2007</t>
  </si>
  <si>
    <t xml:space="preserve">Polski Czerwony Krzyż Zarząd Rejonowy, Katowice ul. PCK 8  </t>
  </si>
  <si>
    <t xml:space="preserve">Towarzystwo Społeczno- Kulturalne Niemców Woj. Śląskiego Oddział Katowice, Katowice ul. Warszawska 19  </t>
  </si>
  <si>
    <t>Śląski Związek Szermierczy,  Katowice ul. Alfreda 1</t>
  </si>
  <si>
    <t>VI Międzynarodowy Turniej Szachowy o memoriał "Dziewięciu z Wujka"</t>
  </si>
  <si>
    <t xml:space="preserve">Turniej Hokeja na Lodzie Kobiet </t>
  </si>
  <si>
    <t xml:space="preserve">Otwarte Mistrzostwa Śląska w Wyścigach Psów Zaprzęgowych </t>
  </si>
  <si>
    <t>Utworzenie i prowadzenie szkoły międzynarodowej w Katowicach w 2007 roku</t>
  </si>
  <si>
    <t xml:space="preserve">Śląskie Stowarzyszenie Artystów i Twórców SAT, Chorzów  al. Muzyków 1 </t>
  </si>
  <si>
    <t xml:space="preserve">Śląskie Towarzystwo Muzyczne, Katowice ul. Dąbrówki 15/8  </t>
  </si>
  <si>
    <t>*</t>
  </si>
  <si>
    <t>* W pełnych kosztach Warsztatów Terapii Zajęciowej ujęto dofinansowanie z PFRON w wysokości 2.384.718 zł</t>
  </si>
  <si>
    <t>Kolonie socjoterapeutyczne dla dzieci z rodzin dysfunkcyjnych, dotkniętych problemem alkoholowym połączone z programem rehabilitacji psychospołecznej</t>
  </si>
  <si>
    <t xml:space="preserve">Świetlica Środowiskowa Profilaktyczno-Wychowawcza </t>
  </si>
  <si>
    <t>Program alternatywnych do uzależnień i innych patologii działań profilaktycznych</t>
  </si>
  <si>
    <t>Środowiskowy program profilaktyczny</t>
  </si>
  <si>
    <t>Program profilaktyczny dla dzieci i młodzieży "Silniejsi Razem"</t>
  </si>
  <si>
    <t>Caritas Arcidiecezji Katowickiej Ośrodek św. Jacka, Katowice ul. Dębowa 23</t>
  </si>
  <si>
    <t>Fundacja Pomocy "Nowy Świat", Katowice ul. Gliwicka 272</t>
  </si>
  <si>
    <t>Związek Harcerstwa Polskiego Komenda Hufca Katowice, Katowice ul. Barbary 25</t>
  </si>
  <si>
    <t>3. Działania na rzecz osób niepełnosprawnych</t>
  </si>
  <si>
    <t>Kompleksowa rehabilitacja dzieci i młodzieży z różnymi rodzajami niepełnosprawności, wczesna interwencja (dzieci do 7 roku życia).</t>
  </si>
  <si>
    <t xml:space="preserve">Zapewnienie dziennego pobytu w Ośrodku dla młodzieży niepełnosprawnej powyżej 16 roku życia </t>
  </si>
  <si>
    <t>Śląskie Stowarzyszenie Edukacji  i Rehabilitacji Osób Niepełnosprawnych AKCENT, Katowice ul. Rataja 14</t>
  </si>
  <si>
    <t>16.04.2007 - 15.04.2010</t>
  </si>
  <si>
    <t>rozdz. 85395,§4300</t>
  </si>
  <si>
    <t xml:space="preserve">Zapewnienie dziennego pobytu w Ośrodku dla dzieci niepełnosprawnych powyżej 7 roku życia </t>
  </si>
  <si>
    <t>Śląskie Stowarzyszenie Pomocy Dzieciom Specjalnej Troski i Osobom z Upośledzeniem Umysłowym Oddział ODRODZENIE,  Katowice ul. Radockiego 280</t>
  </si>
  <si>
    <t xml:space="preserve">Zapewnienie dziennego pobytu w Ośrodku dla dzieci niepełnosprawnych do 3 roku życia </t>
  </si>
  <si>
    <t>Śląskie Stowarzyszenie Pomocy Dzieciom Specjalnej Troski i Osobom z Upośledzeniem Umysłowym Oddział ODRODZENIE , Katowice ul. Radockiego 280</t>
  </si>
  <si>
    <t>14.04.2004 - 15.04.2007</t>
  </si>
  <si>
    <t>Gimnastyka korekcyjna</t>
  </si>
  <si>
    <t>Opracowywanie indywidualnych programów rehabilitacyjnych dla dzieci niepełnosprawnych</t>
  </si>
  <si>
    <t>Prowadzenie indywidualnego poradnictwa psychologicznego i grup wsparcia</t>
  </si>
  <si>
    <t>Katowicka Fundacja Pomocy Dzieciom Kalekim (Niepełnosprawnym), Katowice ul. Ułańska 5a</t>
  </si>
  <si>
    <t>Polskie Stowarzyszenie na Rzecz Osób z Upośledzeniem Umysłowym Koło w Katowicach - Giszowcu, Katowice ul. Gościnna 8</t>
  </si>
  <si>
    <t>Hipoterapia</t>
  </si>
  <si>
    <t>Logorytmika</t>
  </si>
  <si>
    <t>MKS MOS, Katowice ul. Paderewskiego 46A</t>
  </si>
  <si>
    <t>MKS PAŁAC MŁODZIEŻY, Katowice ul. Mikołowska 26</t>
  </si>
  <si>
    <t>UKS OMEGA, Katowice ul. Wojciecha 9</t>
  </si>
  <si>
    <t>UKS PIK, Katowice ul. 3-go Maja 42</t>
  </si>
  <si>
    <t>UKS TORNADO, Katowice ul.  Marcinkowskiego 17</t>
  </si>
  <si>
    <t>UKS CARRAMBA, Katowice ul. Tysiąclecia 68/37</t>
  </si>
  <si>
    <t>UKS PAŁAC MŁODZIEŻY, Katowice ul.  Mikołowska 26</t>
  </si>
  <si>
    <t>UKS SZOPIENICE, Katowice ul.  11-go Listopada 13</t>
  </si>
  <si>
    <t>UKS 06 KATOWICE-POŁUDNIE, Katowice ul. Boya-Żeleńskiego 26</t>
  </si>
  <si>
    <t>7. Nauka, edukacja, oświata i wychowanie.</t>
  </si>
  <si>
    <t>Wspomaganie działań związanych z utworzeniem szkoły międzynarodowej w Katowicach.</t>
  </si>
  <si>
    <t>Wydział Edukacji</t>
  </si>
  <si>
    <t>31.12.2007</t>
  </si>
  <si>
    <t>rozdz. 80195 § 2810</t>
  </si>
  <si>
    <t>SUMA:</t>
  </si>
  <si>
    <t xml:space="preserve">4) </t>
  </si>
  <si>
    <t>Prowadzenie ośrodków adopcyjno - opiekuńczych i placówek opiekuńczo - wychowawczych.</t>
  </si>
  <si>
    <t xml:space="preserve">5) </t>
  </si>
  <si>
    <t>Prowadzenie ośrodków interwencji kryzysowej.</t>
  </si>
  <si>
    <t xml:space="preserve">6) </t>
  </si>
  <si>
    <t>Prowadzenie świetlic i klubów środowiskowych dla dzieci.</t>
  </si>
  <si>
    <t>Wspieranie finansowe klubów integracji społecznej, przeciwdziałających bezrobociu i wykluczeniu społecznemu.</t>
  </si>
  <si>
    <t xml:space="preserve">Środowiskowy Program Psychoprofilaktyczny dla Dzieci i Młodzieży oraz ich Rodzin Zagrożonych Marginalizacją Społeczną: Ognisko Wychowawcze dla dzieci w wieku szkolnym; Świetlica Terapeutyczna dla dzieci w młodszym wieku szkolnym; Świetlica Terapeutyczna dla dzieci w starszym wieku szkolnym </t>
  </si>
  <si>
    <t>Prowadzenie specjalistycznego poradnictwa dla rodzin z problemami opiekuńczo - wychowawczymi i dla młodzieży.</t>
  </si>
  <si>
    <t>Prowadzenie poradnictwa zawodowego dla młodzieży. Udzielanie specjalistycznej pomocy szkołom w prowadzeniu orientacji szkolno - zawodowej.</t>
  </si>
  <si>
    <t>II. Informacja o planowanych i wykorzystanych środkach finansowych z budżetu miasta na poszczególne zadania</t>
  </si>
  <si>
    <t>Lp.</t>
  </si>
  <si>
    <t>Nazwa zadania</t>
  </si>
  <si>
    <t>1. Oferta niezgodna z warunkami konkursu: konkurs dotyczył  wspierania wykonania zadania, a oferta przewidywała 100% dotacji ze strony miasta Katowice.                                                                                                             2. Brak informacji dotyczącej kadry przewidzianej do realizacji zadania np. kwalifikacji merytorycznych.                                                                                 3. Brak programu planowanych działań.</t>
  </si>
  <si>
    <t>Profilaktyczna akcja informacyjna i edukacyjna w zakresie rozwiązywania problemów alkoholowych i przeciwdziałania narkomanii w zasobach Katowickiej Spółdzielni Mieszkaniowej</t>
  </si>
  <si>
    <t>Fundacja Katowickiej Spółdzielni Mieszkaniowej, Katowice ul. Klonowa 35c</t>
  </si>
  <si>
    <t>Związek Harcerstwa Polskiego Komenda Hufca Katowice,  Katowice ul. Barbary 25</t>
  </si>
  <si>
    <t>Fundacja na rzecz Edukacji, Profilaktyki i Terapii Uzależnień "DROGA", Katowice ul. Wandy 16</t>
  </si>
  <si>
    <t>W związku z ograniczonymi środkami finansowymi za priorytetowe uznano dofinansowanie obozów dziecięco-młodzieżowych</t>
  </si>
  <si>
    <t>Oferta nie spełniała oczekiwań komisji konkursowej co do  zawartości merytorycznej oraz kwestii organizacyjnych.</t>
  </si>
  <si>
    <t>Akcja Lato 2007 – organizacja zajęć sportowo-rekreacyjnych dla dzieci i młodzieży</t>
  </si>
  <si>
    <t>Oferta nie zawierała konkretnych informacji dotyczących akcji – harmonogramu zajęć, bazy obiektowej w razie niepogody itp.</t>
  </si>
  <si>
    <t>Ofertę złożono po terminie.</t>
  </si>
  <si>
    <t>Oferta nie spełniała wymogów formalnych – brak sprawozdania finansowego za rok 2006, brak podpisów pod dokumentami.</t>
  </si>
  <si>
    <t>Proponowane zajęcia były kontynuacją szkolenia, nie miały charakteru otwartej dla wszystkich Akcji Lato.</t>
  </si>
  <si>
    <t>Oferta zawierała uchybienia formalne – brak podpisów pod niektórymi dokumentami, brak aktualnych umów z MOSiR-em na korzystanie z obiektów.</t>
  </si>
  <si>
    <t>Prowadzenie poradnictwa specjalistycznego.</t>
  </si>
  <si>
    <t>Prowadzenie Centrum Informacji i Poradnictwa dla Kobiet-aktywizacja społeczności lokalnej i środowisk kobiecych</t>
  </si>
  <si>
    <t>rozdz. 85218, §2820</t>
  </si>
  <si>
    <t>Prowadzenie Ośrodka  Poradnictwa i Terapii Psychologicznej</t>
  </si>
  <si>
    <t>rozdz. 85218, §2830</t>
  </si>
  <si>
    <t>Prowadzenie parafialnej poradni rodzinnej.</t>
  </si>
  <si>
    <t>Prowadzenie poradnictwa specjalistycznego na rzecz osób dotkniętych chorobą Parkinsona i ich rodzin</t>
  </si>
  <si>
    <t>Śląskie Stowarzyszenie Osób Dotkniętych Chorobą Parkinsona Katowice - Ligota, Katowice ul. Medyków 14</t>
  </si>
  <si>
    <t>01.03.2005 - 30.04.2009</t>
  </si>
  <si>
    <t>rozdz. 85218,§2820</t>
  </si>
  <si>
    <t>Prowadzenie poradnictwa specjalistycznego na rzecz młodzieży z upośledzeniem umysłowym i ich rodzin</t>
  </si>
  <si>
    <t>Śląskie Centrum Edukacji i Rehabilitacji ARTERIA, Katowice ul. Francuska 29</t>
  </si>
  <si>
    <t>14.11.2005 - 30.09.2009</t>
  </si>
  <si>
    <t>Prowadzenie poradnictwa specjalistycznego na rzecz osób niepełnosprawnych</t>
  </si>
  <si>
    <t>Polski Związek Głuchych Oddział Śląski, Katowice ul. Pod Młynem 1b</t>
  </si>
  <si>
    <t>Prowadzenie specjalistycznego poradnictwa na rzecz osób starszych i niepełnosprawnych</t>
  </si>
  <si>
    <t>Stowarzyszenie na Rzecz Niepełnosprawnych SPES, Katowice ul. Kościuszki 46</t>
  </si>
  <si>
    <t>01.03.2007 - 28.02.2011</t>
  </si>
  <si>
    <t>01.09.2007 - 31.08.2013</t>
  </si>
  <si>
    <t>rozdz. 85218,§2830</t>
  </si>
  <si>
    <t>Prowadzenie Ośrodka dla kobiet z dziećmi</t>
  </si>
  <si>
    <t>rozdz. 85154, §4300</t>
  </si>
  <si>
    <t>rozdz. 85295, §3110</t>
  </si>
  <si>
    <t>Przygotowywanie dożywiania dodatkowego dla dzieci w DDPS Nr 5 i 7</t>
  </si>
  <si>
    <t>rozdz. 85214, §3110</t>
  </si>
  <si>
    <t>Prowadzenie poradni rodzinnej</t>
  </si>
  <si>
    <t>Prowadzenie klubu dla młodzieży „Wysoki Zamek”</t>
  </si>
  <si>
    <t>Wspólnota Dobrego Pasterza, Katowice ul. Gliwicka 96</t>
  </si>
  <si>
    <t>Prowadzenie programu " Kawiarenka"</t>
  </si>
  <si>
    <t>Prowadzenie poradnictwa specjalistycznego dla dzieci i ich rodzin.</t>
  </si>
  <si>
    <t>Parafia Ewangelicko - Augsburska, Katowice ul. Bednorza 20</t>
  </si>
  <si>
    <t>Prowadzenie Zespołu Interwencji Rodzinnej</t>
  </si>
  <si>
    <t>Fundacja dla Ludzi Potrzebujących "Gniazdo", Katowice ul. Morcinka 19a</t>
  </si>
  <si>
    <t>01.05.2005 - 30.04.2009</t>
  </si>
  <si>
    <t>20.01.2006 -19.01.2011</t>
  </si>
  <si>
    <t>01.04.2005 - 30.04.2009</t>
  </si>
  <si>
    <t>rozdz. 85154, §2830</t>
  </si>
  <si>
    <t>rozdz. 85218, §2810</t>
  </si>
  <si>
    <t>Prowadzenie Ośrodka Adopcyjno-Opiekuńczego</t>
  </si>
  <si>
    <t>Towarzystwo Przyjaciół Dzieci, Śląski Oddział Wojewódzki, Katowice ul. Św. Jana 10</t>
  </si>
  <si>
    <t>Prowadzenie Ośrodka Interwencji Kryzysowej dla Kobiet i Kobiet z Dziećmi</t>
  </si>
  <si>
    <t>Śląskie Stowarzyszenie  "Ad Vitam Dignam", Katowice ul. Bednorza 22</t>
  </si>
  <si>
    <t>01.01.2007 – 30.11.2007, 01.12.2007 - 30.11.2010</t>
  </si>
  <si>
    <t>Prowadzenie Świetlicy Środowiskowej typu opiekuńczego</t>
  </si>
  <si>
    <t xml:space="preserve">Górnośląskie Towarzystwo Charytatywne, Katowice ul. Sienkiewicza 23 </t>
  </si>
  <si>
    <t>01.07.2004 – 30.06.2007, 01.07.2007 - 30.06.2010</t>
  </si>
  <si>
    <t>1.01.2006 - 30.09.2007, 01.10.2007 - 30.09.2010</t>
  </si>
  <si>
    <t>Prowadzenie Świetlicy Środowiskowej (świetlica typu opiekuńczego)</t>
  </si>
  <si>
    <t>Rzymsko-Katolicka Parafia św. Anny, Katowice Pl. Wyzwolenia 21</t>
  </si>
  <si>
    <t>01.08.2004 – 31.07.2007, 01.08.2007 - 31.07.2010</t>
  </si>
  <si>
    <t>ZKS „Tytan 92”, K-ce, ul. Radosna 35</t>
  </si>
  <si>
    <t>Fundacja Oświatowa ,,Szkoła jak Dom", Katowice ul. Witosa 18</t>
  </si>
  <si>
    <t xml:space="preserve"> Ośrodek Interwencji Kryzysowej</t>
  </si>
  <si>
    <t>Śląskie Stowarzyszenie "Ad Vitam Dignam", Katowice ul. ks. bpa Bednorza 22</t>
  </si>
  <si>
    <t>Prowadzenie Świetlicy Środowiskowej</t>
  </si>
  <si>
    <t>Rehabilitacja indywidualna w postaci stymulacji rozwoju psychoruchowego przy użyciu sprzętu MASTER</t>
  </si>
  <si>
    <t>Prowadzenie warsztatów terapii zajęciowej.</t>
  </si>
  <si>
    <t>01.01.2007 - 31.12.2007</t>
  </si>
  <si>
    <t>rozdz. 85311,§2580</t>
  </si>
  <si>
    <t>Stowarzyszenie na Rzecz Niepełnosprawnych SPES, Katowice ul. Panewnicka 463</t>
  </si>
  <si>
    <t>Stowarzyszenie Wspomagania Twórczości i Rozwoju Osób Niepełnosprawnych UNIKAT, Katowice ul. Kotlarza 10b</t>
  </si>
  <si>
    <t>Polskie Stowarzyszenie na Rzecz Osób z Upośledzeniem Umysłowym, Katowice ul. Wojciecha 23</t>
  </si>
  <si>
    <t>Wspieranie działań na rzecz osób niepełnosprawnych (w tym przewlekle chorych) poprzez integrację z otoczeniem.</t>
  </si>
  <si>
    <t>Działania na rzecz osób niepełnosprawnych (w tym przewlekle chorych).</t>
  </si>
  <si>
    <t>Regionalna Fundacja Pomocy Niewidomym, Chorzów ul. Dąbrowskiego 55a</t>
  </si>
  <si>
    <t>01.02.2007 - 31.12.2007</t>
  </si>
  <si>
    <t>rozdz. 85395,§2810</t>
  </si>
  <si>
    <t>Śląskie Stowarzyszenie Alzheimerowskie, Katowice ul. Medyków 14</t>
  </si>
  <si>
    <t>rozdz. 85395,§2820</t>
  </si>
  <si>
    <t>Klub Śląskich Amazonek, Katowice ul. Roździeńskiego 88a</t>
  </si>
  <si>
    <t>Śląskie Stowarzyszenie Pomocy Dzieciom Specjalnej Troski i Osobom z Upośledzeniem Umysłowym Oddział ODRODZENIE, Katowice ul. Radockiego 280</t>
  </si>
  <si>
    <t>Śląskie Stowarzyszenie Pomocy Dzieciom Specjalnej Troski i Osobom z Upośledzeniem Umysłowym „ SZANSA”, Katowice ul. PCK 2</t>
  </si>
  <si>
    <t>Stowarzyszenie Chorych na Stwardnienie Rozsiane Ich Opiekunów i Przyjaciół, Siemanowice Śl. ul. Wiejska 2</t>
  </si>
  <si>
    <t>Polski Związek Niewidomych Koło Terenowe Katowice, Katowice ul. Andrzeja 13</t>
  </si>
  <si>
    <t>Specjalistyczny Ośrodek Diagnozy i Rehabilitacji Dzieci i Młodzieży z Wadą Słuchu Polskiego Związku Głuchych, Katowice ul. Francuska 20-24</t>
  </si>
  <si>
    <t>04.12.2007 - 31.12.2007</t>
  </si>
  <si>
    <t>Organizowanie działań informacyjno - pomocowych dotyczących działalności sekt</t>
  </si>
  <si>
    <t>Katolickie Centrum Edukacji Młodzieży "Kana", Katowice ul. ks. E. Szramka 7</t>
  </si>
  <si>
    <t>rozdz. 85218, §4300</t>
  </si>
  <si>
    <t>Przeciwdziałanie prostytucji i rozszerzaniu się postaw destrukcyjnych - program "Pomóc sobie"</t>
  </si>
  <si>
    <t>Przeciwdziałanie prostytucji i rozszerzaniu się postaw destrukcyjnych</t>
  </si>
  <si>
    <t>Prowadzenie specjalistycznego poradnictwa dla rodzin z problemami opiekuńczo - wychowawczymi</t>
  </si>
  <si>
    <t>Prowadzenie poradnictwa zawodowego dla młodzieży</t>
  </si>
  <si>
    <t xml:space="preserve">RAZEM: </t>
  </si>
  <si>
    <t>rozdz. 85218,§4300</t>
  </si>
  <si>
    <t>Śląskie Gody na Górniach w Istebnej</t>
  </si>
  <si>
    <t>Cykl spektakli teatralnych "Wakacje z Teatrem" oraz wykłady pn. "Stacja:Teatr"</t>
  </si>
  <si>
    <t>Koncert z okazji 26.rocznicy Pacyfikacji Kopalni "Wujek"</t>
  </si>
  <si>
    <t>Międzynarodowy Festiwal Silesian "Opened Art."</t>
  </si>
  <si>
    <t>Wydanie katalogu poplenerowego "Katowice 2007"</t>
  </si>
  <si>
    <t xml:space="preserve">Związek Polskich Artystów Plastyków o/Katowice , Katowice  ul. Dworcowa 13  </t>
  </si>
  <si>
    <t xml:space="preserve">Stowarzyszenie Muzyczno- Kulturalne, Katowice ul. Markiefki 44a </t>
  </si>
  <si>
    <t>01.09.2005 - 31.08.2008</t>
  </si>
  <si>
    <t>Prowadzenie Dziennego Domu Pomocy Społecznej przy ul. Świdnickiej 35</t>
  </si>
  <si>
    <t>Prowadzenie Dziennego Domu Pomocy Społecznej przy ul. Oblatów 24</t>
  </si>
  <si>
    <t>Prowadzenie Dziennego Domu Pomocy Społecznej przy ul. Gliwickiej 74</t>
  </si>
  <si>
    <t>Prowadzenie Dziennego Domu Pomocy Społecznej przy ul. Ligonia 8</t>
  </si>
  <si>
    <t>Prowadzenie Dziennego Domu Pomocy Społecznej przy ul. Dębowej 23</t>
  </si>
  <si>
    <t>01.09.2005 - 31.05.2008</t>
  </si>
  <si>
    <t>rozdz. 85214,§3110</t>
  </si>
  <si>
    <t>rozdz. 85203, §4300</t>
  </si>
  <si>
    <t>8)</t>
  </si>
  <si>
    <t xml:space="preserve">Świadczenie usług opiekuńczych, w tym specjalistycznych w miejscu zamieszkania. </t>
  </si>
  <si>
    <t>Polski Czerwony Krzyż Śląski Zarząd Okręgowy, Katowice ul. PCK 8</t>
  </si>
  <si>
    <t>UKS „4” , Katowice ul. Trzech Stawów 10</t>
  </si>
  <si>
    <t xml:space="preserve">Akademia Sportowa MUAY THAI, Katowice ul. Narutowicza 5/13 </t>
  </si>
  <si>
    <t>KS ALPINO, Katowice ul. Baranowicz 8</t>
  </si>
  <si>
    <t>UKS ARA, Katowice ul. Nasypowa 16</t>
  </si>
  <si>
    <t>AZS AWF, Katowice ul. Mikołowska 72A</t>
  </si>
  <si>
    <t>KU AZS UŚ, Katowice ul. Bankowa 14</t>
  </si>
  <si>
    <t>KS BUMEIKAN, Katowice ul. Szenwalda 38C/24</t>
  </si>
  <si>
    <t>KRS TKKF CZARNI, Katowice ul. Dorobku Górniczego 14</t>
  </si>
  <si>
    <t>GKS KATOWICE, Katowice ul. Bukowa 1</t>
  </si>
  <si>
    <t>ŚKK GOLIAT, Katowice ul. Uniwersytecka 12/84</t>
  </si>
  <si>
    <t>KS MK GÓRNIK, Katowice ul. Bielska 1</t>
  </si>
  <si>
    <t>Górnośląski Klub Sportowy MURCKI, Katowice ul. Kołodzieja 42</t>
  </si>
  <si>
    <t>HCK, Katowice Al. Korfantego 35</t>
  </si>
  <si>
    <t>KS HETMAN 22, Katowice ul. Siwka 2</t>
  </si>
  <si>
    <t>KS HETMAN  SZOPIENICE, Katowice ul. Hallera 28</t>
  </si>
  <si>
    <t>HKS SZOPIENICE,  Katowice ul. Obrońców Westerplatte 44</t>
  </si>
  <si>
    <t>UKS JUNGA,  Katowice ul. Morawa 19</t>
  </si>
  <si>
    <t>UKS KATOWICE,  Katowice ul. Ordona 3D</t>
  </si>
  <si>
    <t>Katowickie Stowarzyszenie Brydżowe SENIOR,  Katowice ul. Sowińskiego 43/46</t>
  </si>
  <si>
    <t>KKJ,  Katowice ul. Francuska 180A</t>
  </si>
  <si>
    <t>KKS NAPRZÓD JANÓW,  Katowice ul. Nałkowskiej 10</t>
  </si>
  <si>
    <t>KS 06 KLEOFAS,  Katowice ul. Obroki 43</t>
  </si>
  <si>
    <t>Klub Środowiskowy AZS,  Katowice ul. Dworcowa 15</t>
  </si>
  <si>
    <t>KS KOLEJARZ 24 ,  Katowice ul. Alfreda 1</t>
  </si>
  <si>
    <t>UKS KUKUŁKI,  Katowice ul. Kukułek 2A</t>
  </si>
  <si>
    <t>KKS MICKIEWICZ,  Katowice ul. Mickiewicza 11</t>
  </si>
  <si>
    <t>MKS PAŁAC MŁODZIEŻY,  Katowice ul. Mikołowska 26</t>
  </si>
  <si>
    <t>Organizacja Środowiskowa AZS, Katowice ul. Dworcowa 15</t>
  </si>
  <si>
    <t>ZUKS GKS KATOWICE,  Katowice ul. Józefowska 40</t>
  </si>
  <si>
    <t>UKS PIK,  Katowice ul. 3-go Maja 42</t>
  </si>
  <si>
    <t>LGKS 38 PODLESIANKA ,  Katowice ul. Sołtysia 25</t>
  </si>
  <si>
    <t>Polskie Towarzystwo Zapobiegania Narkomanii,  Katowice ul. Warszawska 19</t>
  </si>
  <si>
    <t>PTTK,  Katowice ul. Staromiejska 4</t>
  </si>
  <si>
    <t>KS ROZWÓJ,  Katowice ul. Zgody  28</t>
  </si>
  <si>
    <t>UKS SOKÓŁ 22,  Katowice ul. Wolskiego 3</t>
  </si>
  <si>
    <t>UKS SOKÓŁ 43,  Katowice ul. Brynicy  7</t>
  </si>
  <si>
    <t>BKS SPARTA,  Katowice ul. Żeromskiego  4/1</t>
  </si>
  <si>
    <t>KRS TKKF SPARTAKUS,  Katowice ul. Warszwska 27</t>
  </si>
  <si>
    <t>UKŁ SPIN,  Katowice ul. Szopienicka 13D/7</t>
  </si>
  <si>
    <t>UKS SPRINT,  Katowice ul. Przyjazna 7A</t>
  </si>
  <si>
    <t>SSK GKS KATOWICE,  Katowice ul. Bukowa 1</t>
  </si>
  <si>
    <t>KS STADION ŚLĄSKI CHORZÓW, Chorzów ul. Katowicka 10</t>
  </si>
  <si>
    <t>Stowarzyszenie SHIDOKAN EMERS TEAM, Katowice ul. Piastów 3/181</t>
  </si>
  <si>
    <t>Stowarzyszenie Przewodników Górskich,  Katowice ul. Sienkiewicza 46/9</t>
  </si>
  <si>
    <t>Śląski Klub  KYOKUSHIN KARATE,  Katowice ul. Tysiąclecia 92/1</t>
  </si>
  <si>
    <t>Śląskie Towarzystwo Sportowe,  Katowice ul. Ceglana 67</t>
  </si>
  <si>
    <t>Śląski Klub Curlingowy,  Katowice ul. Sandomierska 21/25</t>
  </si>
  <si>
    <t>ZKS TYTAN 92,  Katowice ul. Radosna 35</t>
  </si>
  <si>
    <t>Poradnctwo trzeźwościowe oraz warsztaty terapeutyczne ( "Nawroty w uzależnieniu"                               "Syndrom wypalenia", "Trening asertywności -nauka konstruktywnych zachowań", "Umiejętność rozpoznawania i radzenia sobie z emocjami")</t>
  </si>
  <si>
    <t>Prowadzenie Świetlicy Terapeutycznej im. św. Brata Alberta</t>
  </si>
  <si>
    <t xml:space="preserve">Ośrodek św. Jacka Caritas Archidiecezji Katowickiej, Katowice ul. Dębowa 23                                     </t>
  </si>
  <si>
    <t>Ośrodek św. Jacka Caritas Archidiecezji Katowickiej , ul. Dębowa 23</t>
  </si>
  <si>
    <t>Ośrodek św. Jacka Caritas Archidiecezji Katowickiej, Katowice ul. Dębowa 23</t>
  </si>
  <si>
    <t>Ośrodek Profilaktyczno-Szkoleniowy im. ks. Fr.Blachnickiego Fundacji "Światło Życie", Katowice ul. Gawronów 20</t>
  </si>
  <si>
    <t xml:space="preserve">Stowarzyszenie Producentów i Dziennikarzy Radiowych, Poznań ul. Murna 3 </t>
  </si>
  <si>
    <t xml:space="preserve">Stowarzyszenie Dom Miasta Saint - Etienne, Katowice  ul. Różyckiego 14c  </t>
  </si>
  <si>
    <t>Projekt "Słowa które leczą"</t>
  </si>
  <si>
    <t xml:space="preserve">Udział mieszkańców Katowic (głównie podopiecznych MOPS) w XVI Ogólnopolskim Wiosennym Zlocie Rodzin Abstynenckich w Małych Cichym </t>
  </si>
  <si>
    <t>Prowadzenie Świetlicy Terapeutycznej im. św. Jacka  (do 30.09.2007 - Świetlica typu opiekuńczego, od 01.10.2007 - Świetlica typu specjalistycznego)</t>
  </si>
  <si>
    <t>Prowadzenie Świetlicy Środowiskowej im. św.  Agaty  (Świetlica typu opiekuńczego)</t>
  </si>
  <si>
    <t>Prowadzenie Świetlicy Terapeutycznej im.św.Brata Alberta (do 30.06.2007 - Świetlica typu opiekuńczego, od 01.07.2007 - Świetlica typu specjalistycznego)</t>
  </si>
  <si>
    <t xml:space="preserve">rozdz.85154 § 2810 </t>
  </si>
  <si>
    <t xml:space="preserve">rozdz.85154 § 2820 </t>
  </si>
  <si>
    <t>Projekt integracyjny "Razem lepiej"</t>
  </si>
  <si>
    <t>Zgromadzenie Sióstr św. Elżbiety, Katowice ul. Warszawska 52</t>
  </si>
  <si>
    <t>Katowickie Stowarzyszenie na Rzecz Osób Starszych, Niepełnosprawnych i Oczekujących Wsparcia "Opoka", Katowice ul. Oblatów 24</t>
  </si>
  <si>
    <t>Stowarzyszenie Pomocy Dzieciom i Młodzieży "Dom Aniołów Stróżów", Katowice ul. Andrzeja 12a</t>
  </si>
  <si>
    <t>Prowadzenie warsztatów terapii zajęciowej</t>
  </si>
  <si>
    <t>Fundacja Pomocy Dzieciom i Młodzieży Niepełnosprawnej im. św. St. Kostki, Katowice ul. Ociepki 8a</t>
  </si>
  <si>
    <t>Stowarzyszenie "Aktywne Życie", Katowice ul. Bronisławy 30/1</t>
  </si>
  <si>
    <t xml:space="preserve">25. 07.2007-  02.09.2007 </t>
  </si>
  <si>
    <t>20- 22.04. 2007</t>
  </si>
  <si>
    <t>01.05.2007, 03.05.2007</t>
  </si>
  <si>
    <t>14.06.2007, 17.06.2007</t>
  </si>
  <si>
    <t>01.11.2007-30.11.2007, 01.12.2007-31.12.2007</t>
  </si>
  <si>
    <t>KRS TKKF CZARNI, Katowice ul.  Dorobku Górniczego 14</t>
  </si>
  <si>
    <t>KS 06 KLEOFAS, Katowice ul. Obroki 43</t>
  </si>
  <si>
    <t>Klub Środowiskowy AZS, Katowice ul. Dworcowa 15</t>
  </si>
  <si>
    <t>KS KOLEJARZ 24, Katowice ul. Alfreda 1</t>
  </si>
  <si>
    <t>PTTK , Katowice ul. Staromiejska 4</t>
  </si>
  <si>
    <t>SSK GKS KATOWICE, Katowice ul. Bukowa 1</t>
  </si>
  <si>
    <t>Śląski Klub KYOKUSHIN KARATE, Katowice ul.  Tysiąclecia 92/1</t>
  </si>
  <si>
    <t>Rzymsko-Katolicka Parafia św. Ludwika, Katowice ul. Panewnicka 76</t>
  </si>
  <si>
    <t>02.12.2007</t>
  </si>
  <si>
    <t>Społeczny Komitet Pamięci Górników KWK "WUJEK", Katowice ul. W. Pola 65</t>
  </si>
  <si>
    <t>MAKS, Katowice Pl. Kasprowicza 4</t>
  </si>
  <si>
    <t>Stowarzyszenie Miłośników Psów Zaprzęgowych TRAVOIS, Katowice ul. Głogowa 9</t>
  </si>
  <si>
    <t>Fundacja Oświatowa ,,Szkoła jak Dom", Katowice, ul. Witosa 18</t>
  </si>
  <si>
    <t xml:space="preserve">Rzymsko-Katolicka Parafia Matki Boskiej Piekarskiej, Katowice ul. Ułańska 13  </t>
  </si>
  <si>
    <t xml:space="preserve">Rzymsko-Katolicka Parafia Trójcy Przenajświętszej, Katowice ul. B.-Żeleńskiego 34 </t>
  </si>
  <si>
    <t>OSP w Dąbrówce Małej, Katowice  ul. Strzelców Bytomskich 33</t>
  </si>
  <si>
    <t xml:space="preserve">Stowarzyszenie "Inicjatywa", Katowice  Plac Sejmu Śl. 2/425 </t>
  </si>
  <si>
    <t>"Dzień Kilara" - obchody 75-lecia urodzin W. Kilara</t>
  </si>
  <si>
    <t xml:space="preserve">Rzymsko-Katolicka Parafia św. Anny, Katowice  Plac Wyzwolenia 21 </t>
  </si>
  <si>
    <t xml:space="preserve">Klub Rekreacyjno Sportowy TKKF "Czarni" przy KWK "Wieczorek", Katowice ul. Górn.Dorobku 14  </t>
  </si>
  <si>
    <t xml:space="preserve">Rzymsko-Katolicka Parafia Najświętszego Ciała i Krwi Chrystusa, Katowice ul. Radockiego 251 </t>
  </si>
  <si>
    <t xml:space="preserve">Rzymsko-Katolicka Parafia Matki Boskiej Częstochowskiej, Katowice ul. Michałowskiego 9 </t>
  </si>
  <si>
    <t xml:space="preserve">Związek Górnośląski,Katowice  ul. Stalmacha 17  </t>
  </si>
  <si>
    <t xml:space="preserve">Stowarzyszenie Teatralne A Part, Katowice  ul. Barlickiego 15b/4  </t>
  </si>
  <si>
    <t xml:space="preserve">Mistrzostwa Śląska Niepełnosprawnych w Tenisie Stołowym </t>
  </si>
  <si>
    <t>WSSiRN START CHORZÓW, Chorzów ul. Katowicka 10</t>
  </si>
  <si>
    <t>22.09.2007</t>
  </si>
  <si>
    <t xml:space="preserve">I Międzynarodowy Turniej w Gimnastyce Artystycznej </t>
  </si>
  <si>
    <t>28-30.09.2007</t>
  </si>
  <si>
    <t>Meeting Katowicki w Brydżu Sportowym</t>
  </si>
  <si>
    <t>Katowickie Stowarzyszenie Brydżowe SENIOR, Katowice ul. Sowińskiego 43/46</t>
  </si>
  <si>
    <t>21-23.09.2007</t>
  </si>
  <si>
    <t xml:space="preserve">Turniej Piłki Nożnej „Krwiodawcy Kontra Reszta Świata"  </t>
  </si>
  <si>
    <t>Polski Czerwony Krzyż, Katowice ul.  PCK 2</t>
  </si>
  <si>
    <t>13.10.2007</t>
  </si>
  <si>
    <t>Turniej Tenisowy Seniorów KATOWICE CUP</t>
  </si>
  <si>
    <t>Klub Tenisowy PROTEN, Katowice ul.  Szopienicka 1</t>
  </si>
  <si>
    <t>11-15.08.2007</t>
  </si>
  <si>
    <t xml:space="preserve">Turniej Szachowy im. E.Oleja </t>
  </si>
  <si>
    <t>LGKS 38 PODLESIANKA, Katowice ul.  Sołtysia 25</t>
  </si>
  <si>
    <t>10.11.2007</t>
  </si>
  <si>
    <t xml:space="preserve">Turniej Brydżowy dla Młodzieży </t>
  </si>
  <si>
    <t>24.11.2007</t>
  </si>
  <si>
    <t xml:space="preserve">Turniej Tańca Nowoczesnego „Power Dance” 2007 </t>
  </si>
  <si>
    <t>Stowarzyszenie Czasu Wolnego Dzieci i Młodzieży, Katowice ul. Mikołowska 72</t>
  </si>
  <si>
    <t>17.11.2007</t>
  </si>
  <si>
    <t xml:space="preserve">Zawody Pływackie „Nadzieje Paraolimpijskie PEKIN 2008" </t>
  </si>
  <si>
    <t>23-25.11.2007</t>
  </si>
  <si>
    <t>Otwarcie Lodowiska Sezonowego</t>
  </si>
  <si>
    <t>UKŁ SPIN, Katowice ul. Szopienicka 13D/7</t>
  </si>
  <si>
    <t>15.12.2007</t>
  </si>
  <si>
    <t>Międzynarodowe Zawody w Łyżwiarstwie Figurowym "Diamentowy Spin"</t>
  </si>
  <si>
    <t xml:space="preserve">Turniej Halowy w Piłce Nożnej „Barbórka 2007”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</si>
</sst>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\ _z_ł"/>
    <numFmt numFmtId="166" formatCode="#,##0.00;[Red]#,##0.00"/>
    <numFmt numFmtId="167" formatCode="#,##0.00\ &quot;zł&quot;"/>
    <numFmt numFmtId="168" formatCode="#,##0.00\ ;[Red]\-#,##0.00\ "/>
  </numFmts>
  <fonts count="45">
    <font>
      <sz val="10"/>
      <name val="Arial"/>
      <family val="0"/>
    </font>
    <font>
      <sz val="10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z val="6"/>
      <name val="Arial Narrow"/>
      <family val="2"/>
    </font>
    <font>
      <b/>
      <sz val="8"/>
      <name val="Arial"/>
      <family val="0"/>
    </font>
    <font>
      <b/>
      <sz val="10"/>
      <name val="Arial"/>
      <family val="0"/>
    </font>
    <font>
      <sz val="8"/>
      <name val="Arial Narrow"/>
      <family val="2"/>
    </font>
    <font>
      <i/>
      <sz val="8"/>
      <name val="Arial Narrow"/>
      <family val="2"/>
    </font>
    <font>
      <i/>
      <sz val="6"/>
      <name val="Arial Narrow"/>
      <family val="2"/>
    </font>
    <font>
      <sz val="8"/>
      <name val="Arial"/>
      <family val="0"/>
    </font>
    <font>
      <sz val="8"/>
      <color indexed="10"/>
      <name val="Arial"/>
      <family val="0"/>
    </font>
    <font>
      <sz val="8"/>
      <color indexed="10"/>
      <name val="Arial Narrow"/>
      <family val="2"/>
    </font>
    <font>
      <i/>
      <sz val="10"/>
      <name val="Arial"/>
      <family val="0"/>
    </font>
    <font>
      <i/>
      <sz val="8"/>
      <name val="Arial"/>
      <family val="0"/>
    </font>
    <font>
      <b/>
      <i/>
      <sz val="6"/>
      <name val="Arial Narrow"/>
      <family val="2"/>
    </font>
    <font>
      <sz val="7"/>
      <name val="Arial Narrow"/>
      <family val="2"/>
    </font>
    <font>
      <sz val="9"/>
      <name val="Arial Narrow"/>
      <family val="2"/>
    </font>
    <font>
      <i/>
      <sz val="7"/>
      <name val="Arial Narrow"/>
      <family val="2"/>
    </font>
    <font>
      <sz val="7"/>
      <name val="Arial"/>
      <family val="0"/>
    </font>
    <font>
      <b/>
      <i/>
      <sz val="9"/>
      <name val="Arial Narrow"/>
      <family val="2"/>
    </font>
    <font>
      <b/>
      <sz val="9"/>
      <name val="Arial Narrow"/>
      <family val="2"/>
    </font>
    <font>
      <b/>
      <sz val="9"/>
      <name val="Arial"/>
      <family val="0"/>
    </font>
    <font>
      <b/>
      <sz val="7"/>
      <name val="Arial Narrow"/>
      <family val="2"/>
    </font>
    <font>
      <b/>
      <sz val="7"/>
      <name val="Arial"/>
      <family val="0"/>
    </font>
    <font>
      <sz val="7"/>
      <color indexed="10"/>
      <name val="Arial Narrow"/>
      <family val="2"/>
    </font>
    <font>
      <sz val="7"/>
      <color indexed="8"/>
      <name val="Arial Narrow"/>
      <family val="2"/>
    </font>
    <font>
      <sz val="7"/>
      <name val="Arial CE"/>
      <family val="2"/>
    </font>
    <font>
      <b/>
      <i/>
      <sz val="7"/>
      <name val="Arial Narrow"/>
      <family val="2"/>
    </font>
    <font>
      <i/>
      <sz val="7"/>
      <color indexed="10"/>
      <name val="Arial Narrow"/>
      <family val="2"/>
    </font>
    <font>
      <i/>
      <sz val="7"/>
      <name val="Arial"/>
      <family val="0"/>
    </font>
    <font>
      <sz val="10"/>
      <name val="Arial CE"/>
      <family val="0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8"/>
      <color indexed="8"/>
      <name val="Arial Narrow"/>
      <family val="2"/>
    </font>
    <font>
      <b/>
      <i/>
      <sz val="7"/>
      <color indexed="8"/>
      <name val="Arial Narrow"/>
      <family val="2"/>
    </font>
    <font>
      <i/>
      <sz val="7"/>
      <color indexed="8"/>
      <name val="Arial Narrow"/>
      <family val="2"/>
    </font>
    <font>
      <b/>
      <sz val="7"/>
      <color indexed="8"/>
      <name val="Arial Narrow"/>
      <family val="2"/>
    </font>
    <font>
      <b/>
      <sz val="7"/>
      <color indexed="8"/>
      <name val="Arial"/>
      <family val="0"/>
    </font>
    <font>
      <sz val="7"/>
      <color indexed="8"/>
      <name val="Arial CE"/>
      <family val="2"/>
    </font>
    <font>
      <b/>
      <sz val="7"/>
      <color indexed="8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2" borderId="0" xfId="0" applyFont="1" applyFill="1" applyBorder="1" applyAlignment="1">
      <alignment/>
    </xf>
    <xf numFmtId="4" fontId="4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/>
    </xf>
    <xf numFmtId="0" fontId="6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2" fillId="2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9" fillId="5" borderId="1" xfId="0" applyNumberFormat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" fontId="3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1" fontId="8" fillId="0" borderId="1" xfId="0" applyNumberFormat="1" applyFont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13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 wrapText="1"/>
    </xf>
    <xf numFmtId="2" fontId="8" fillId="5" borderId="1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4" fontId="16" fillId="4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6" borderId="0" xfId="0" applyFont="1" applyFill="1" applyBorder="1" applyAlignment="1">
      <alignment/>
    </xf>
    <xf numFmtId="0" fontId="8" fillId="6" borderId="0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165" fontId="3" fillId="7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" fontId="4" fillId="7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4" fontId="3" fillId="4" borderId="1" xfId="0" applyNumberFormat="1" applyFont="1" applyFill="1" applyBorder="1" applyAlignment="1">
      <alignment horizontal="center" vertical="center"/>
    </xf>
    <xf numFmtId="4" fontId="8" fillId="6" borderId="1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8" fillId="2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4" borderId="1" xfId="0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0" fontId="20" fillId="2" borderId="0" xfId="0" applyFont="1" applyFill="1" applyBorder="1" applyAlignment="1">
      <alignment/>
    </xf>
    <xf numFmtId="0" fontId="18" fillId="0" borderId="1" xfId="0" applyFont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wrapText="1"/>
    </xf>
    <xf numFmtId="164" fontId="6" fillId="6" borderId="0" xfId="0" applyNumberFormat="1" applyFont="1" applyFill="1" applyBorder="1" applyAlignment="1">
      <alignment wrapText="1"/>
    </xf>
    <xf numFmtId="0" fontId="7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 quotePrefix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4" fontId="3" fillId="8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4" fontId="9" fillId="11" borderId="1" xfId="0" applyNumberFormat="1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4" fontId="9" fillId="10" borderId="1" xfId="0" applyNumberFormat="1" applyFont="1" applyFill="1" applyBorder="1" applyAlignment="1">
      <alignment horizontal="center" vertical="center"/>
    </xf>
    <xf numFmtId="4" fontId="5" fillId="7" borderId="1" xfId="0" applyNumberFormat="1" applyFont="1" applyFill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/>
    </xf>
    <xf numFmtId="164" fontId="23" fillId="2" borderId="0" xfId="0" applyNumberFormat="1" applyFont="1" applyFill="1" applyBorder="1" applyAlignment="1">
      <alignment wrapText="1"/>
    </xf>
    <xf numFmtId="0" fontId="18" fillId="2" borderId="0" xfId="0" applyFont="1" applyFill="1" applyBorder="1" applyAlignment="1">
      <alignment horizontal="center"/>
    </xf>
    <xf numFmtId="14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1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4" fillId="3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 horizontal="center" wrapText="1"/>
    </xf>
    <xf numFmtId="0" fontId="24" fillId="2" borderId="0" xfId="0" applyFont="1" applyFill="1" applyBorder="1" applyAlignment="1">
      <alignment wrapText="1"/>
    </xf>
    <xf numFmtId="0" fontId="17" fillId="2" borderId="0" xfId="0" applyFont="1" applyFill="1" applyBorder="1" applyAlignment="1">
      <alignment horizontal="center" wrapText="1"/>
    </xf>
    <xf numFmtId="0" fontId="26" fillId="2" borderId="0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wrapText="1"/>
    </xf>
    <xf numFmtId="4" fontId="24" fillId="3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/>
    </xf>
    <xf numFmtId="0" fontId="17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 horizontal="left" vertical="center"/>
    </xf>
    <xf numFmtId="0" fontId="20" fillId="6" borderId="0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vertical="center" wrapText="1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4" fillId="4" borderId="1" xfId="0" applyFont="1" applyFill="1" applyBorder="1" applyAlignment="1">
      <alignment horizontal="center" vertical="center" wrapText="1"/>
    </xf>
    <xf numFmtId="4" fontId="24" fillId="3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167" fontId="17" fillId="0" borderId="0" xfId="0" applyNumberFormat="1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17" fillId="0" borderId="0" xfId="0" applyFont="1" applyAlignment="1">
      <alignment horizontal="center"/>
    </xf>
    <xf numFmtId="4" fontId="17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wrapText="1"/>
    </xf>
    <xf numFmtId="4" fontId="19" fillId="2" borderId="1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wrapText="1"/>
    </xf>
    <xf numFmtId="0" fontId="30" fillId="2" borderId="0" xfId="0" applyFont="1" applyFill="1" applyBorder="1" applyAlignment="1">
      <alignment horizontal="center" wrapText="1"/>
    </xf>
    <xf numFmtId="4" fontId="17" fillId="0" borderId="0" xfId="0" applyNumberFormat="1" applyFont="1" applyAlignment="1">
      <alignment/>
    </xf>
    <xf numFmtId="0" fontId="31" fillId="2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" fontId="17" fillId="0" borderId="0" xfId="0" applyNumberFormat="1" applyFont="1" applyAlignment="1">
      <alignment wrapText="1"/>
    </xf>
    <xf numFmtId="4" fontId="17" fillId="4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4" fontId="17" fillId="3" borderId="1" xfId="0" applyNumberFormat="1" applyFont="1" applyFill="1" applyBorder="1" applyAlignment="1">
      <alignment horizontal="center" vertical="center" wrapText="1"/>
    </xf>
    <xf numFmtId="4" fontId="17" fillId="0" borderId="1" xfId="17" applyNumberFormat="1" applyFont="1" applyBorder="1" applyAlignment="1">
      <alignment horizontal="center" vertical="center" wrapText="1"/>
      <protection/>
    </xf>
    <xf numFmtId="4" fontId="19" fillId="0" borderId="1" xfId="17" applyNumberFormat="1" applyFont="1" applyBorder="1" applyAlignment="1">
      <alignment horizontal="center" vertical="center" wrapText="1"/>
      <protection/>
    </xf>
    <xf numFmtId="4" fontId="17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0" fontId="19" fillId="0" borderId="1" xfId="17" applyFont="1" applyBorder="1" applyAlignment="1">
      <alignment horizontal="center" vertical="center" wrapText="1"/>
      <protection/>
    </xf>
    <xf numFmtId="0" fontId="17" fillId="0" borderId="1" xfId="17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33" fillId="4" borderId="1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wrapText="1"/>
    </xf>
    <xf numFmtId="0" fontId="3" fillId="0" borderId="0" xfId="0" applyFont="1" applyAlignment="1">
      <alignment/>
    </xf>
    <xf numFmtId="4" fontId="24" fillId="4" borderId="1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20" fillId="2" borderId="5" xfId="0" applyFont="1" applyFill="1" applyBorder="1" applyAlignment="1">
      <alignment/>
    </xf>
    <xf numFmtId="4" fontId="19" fillId="2" borderId="1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7" fillId="0" borderId="0" xfId="0" applyFont="1" applyAlignment="1">
      <alignment/>
    </xf>
    <xf numFmtId="0" fontId="35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/>
    </xf>
    <xf numFmtId="4" fontId="36" fillId="0" borderId="0" xfId="0" applyNumberFormat="1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4" fontId="38" fillId="0" borderId="0" xfId="0" applyNumberFormat="1" applyFont="1" applyAlignment="1">
      <alignment horizontal="center"/>
    </xf>
    <xf numFmtId="0" fontId="2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wrapText="1"/>
    </xf>
    <xf numFmtId="0" fontId="37" fillId="2" borderId="0" xfId="0" applyFont="1" applyFill="1" applyBorder="1" applyAlignment="1">
      <alignment/>
    </xf>
    <xf numFmtId="0" fontId="40" fillId="0" borderId="1" xfId="0" applyFont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4" fontId="39" fillId="3" borderId="1" xfId="0" applyNumberFormat="1" applyFont="1" applyFill="1" applyBorder="1" applyAlignment="1">
      <alignment horizontal="center" vertical="center" wrapText="1"/>
    </xf>
    <xf numFmtId="0" fontId="41" fillId="4" borderId="1" xfId="0" applyFont="1" applyFill="1" applyBorder="1" applyAlignment="1">
      <alignment horizontal="center" vertical="center" wrapText="1"/>
    </xf>
    <xf numFmtId="4" fontId="41" fillId="4" borderId="1" xfId="0" applyNumberFormat="1" applyFont="1" applyFill="1" applyBorder="1" applyAlignment="1">
      <alignment horizontal="center" vertical="center" wrapText="1"/>
    </xf>
    <xf numFmtId="10" fontId="41" fillId="4" borderId="1" xfId="0" applyNumberFormat="1" applyFont="1" applyFill="1" applyBorder="1" applyAlignment="1">
      <alignment horizontal="center" vertical="center" wrapText="1"/>
    </xf>
    <xf numFmtId="165" fontId="41" fillId="4" borderId="1" xfId="0" applyNumberFormat="1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wrapText="1"/>
    </xf>
    <xf numFmtId="0" fontId="27" fillId="0" borderId="1" xfId="0" applyFont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 wrapText="1"/>
    </xf>
    <xf numFmtId="10" fontId="27" fillId="0" borderId="1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wrapText="1"/>
    </xf>
    <xf numFmtId="0" fontId="27" fillId="2" borderId="1" xfId="0" applyFont="1" applyFill="1" applyBorder="1" applyAlignment="1">
      <alignment horizontal="center" vertical="center" wrapText="1"/>
    </xf>
    <xf numFmtId="4" fontId="27" fillId="2" borderId="1" xfId="0" applyNumberFormat="1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 wrapText="1"/>
    </xf>
    <xf numFmtId="4" fontId="27" fillId="0" borderId="1" xfId="0" applyNumberFormat="1" applyFont="1" applyBorder="1" applyAlignment="1">
      <alignment horizontal="center" vertical="center" wrapText="1"/>
    </xf>
    <xf numFmtId="165" fontId="27" fillId="2" borderId="1" xfId="0" applyNumberFormat="1" applyFont="1" applyFill="1" applyBorder="1" applyAlignment="1">
      <alignment horizontal="center" vertical="center" wrapText="1"/>
    </xf>
    <xf numFmtId="10" fontId="27" fillId="2" borderId="1" xfId="0" applyNumberFormat="1" applyFont="1" applyFill="1" applyBorder="1" applyAlignment="1">
      <alignment horizontal="center" vertical="center" wrapText="1"/>
    </xf>
    <xf numFmtId="0" fontId="41" fillId="2" borderId="0" xfId="0" applyFont="1" applyFill="1" applyBorder="1" applyAlignment="1">
      <alignment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wrapText="1"/>
    </xf>
    <xf numFmtId="0" fontId="41" fillId="7" borderId="1" xfId="0" applyFont="1" applyFill="1" applyBorder="1" applyAlignment="1">
      <alignment horizontal="center" vertical="center" wrapText="1"/>
    </xf>
    <xf numFmtId="4" fontId="41" fillId="7" borderId="1" xfId="0" applyNumberFormat="1" applyFont="1" applyFill="1" applyBorder="1" applyAlignment="1">
      <alignment horizontal="center" vertical="center" wrapText="1"/>
    </xf>
    <xf numFmtId="10" fontId="41" fillId="7" borderId="1" xfId="0" applyNumberFormat="1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/>
    </xf>
    <xf numFmtId="4" fontId="41" fillId="3" borderId="1" xfId="0" applyNumberFormat="1" applyFont="1" applyFill="1" applyBorder="1" applyAlignment="1">
      <alignment horizontal="center" vertical="center" wrapText="1"/>
    </xf>
    <xf numFmtId="0" fontId="41" fillId="4" borderId="1" xfId="0" applyFont="1" applyFill="1" applyBorder="1" applyAlignment="1">
      <alignment horizontal="center" vertical="center"/>
    </xf>
    <xf numFmtId="0" fontId="27" fillId="6" borderId="0" xfId="0" applyFont="1" applyFill="1" applyBorder="1" applyAlignment="1">
      <alignment horizontal="center" vertical="center"/>
    </xf>
    <xf numFmtId="165" fontId="27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7" fillId="6" borderId="1" xfId="0" applyFont="1" applyFill="1" applyBorder="1" applyAlignment="1">
      <alignment horizontal="center" vertical="center" wrapText="1"/>
    </xf>
    <xf numFmtId="4" fontId="27" fillId="6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/>
    </xf>
    <xf numFmtId="165" fontId="27" fillId="6" borderId="1" xfId="0" applyNumberFormat="1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42" fillId="6" borderId="0" xfId="0" applyFont="1" applyFill="1" applyBorder="1" applyAlignment="1">
      <alignment wrapText="1"/>
    </xf>
    <xf numFmtId="0" fontId="43" fillId="0" borderId="0" xfId="0" applyFont="1" applyAlignment="1">
      <alignment/>
    </xf>
    <xf numFmtId="0" fontId="37" fillId="6" borderId="0" xfId="0" applyFont="1" applyFill="1" applyBorder="1" applyAlignment="1">
      <alignment vertical="center" wrapText="1"/>
    </xf>
    <xf numFmtId="168" fontId="42" fillId="6" borderId="0" xfId="0" applyNumberFormat="1" applyFont="1" applyFill="1" applyBorder="1" applyAlignment="1">
      <alignment wrapText="1"/>
    </xf>
    <xf numFmtId="0" fontId="41" fillId="6" borderId="0" xfId="0" applyFont="1" applyFill="1" applyBorder="1" applyAlignment="1">
      <alignment wrapText="1"/>
    </xf>
    <xf numFmtId="0" fontId="44" fillId="0" borderId="0" xfId="0" applyFont="1" applyAlignment="1">
      <alignment/>
    </xf>
    <xf numFmtId="0" fontId="41" fillId="3" borderId="1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/>
    </xf>
    <xf numFmtId="0" fontId="27" fillId="4" borderId="1" xfId="0" applyFont="1" applyFill="1" applyBorder="1" applyAlignment="1">
      <alignment horizontal="center" vertical="center" wrapText="1"/>
    </xf>
    <xf numFmtId="167" fontId="41" fillId="4" borderId="1" xfId="0" applyNumberFormat="1" applyFont="1" applyFill="1" applyBorder="1" applyAlignment="1">
      <alignment horizontal="center" vertical="center" wrapText="1"/>
    </xf>
    <xf numFmtId="165" fontId="41" fillId="4" borderId="1" xfId="0" applyNumberFormat="1" applyFont="1" applyFill="1" applyBorder="1" applyAlignment="1">
      <alignment horizontal="center" vertical="center"/>
    </xf>
    <xf numFmtId="10" fontId="41" fillId="4" borderId="1" xfId="0" applyNumberFormat="1" applyFont="1" applyFill="1" applyBorder="1" applyAlignment="1">
      <alignment horizontal="center" vertical="center"/>
    </xf>
    <xf numFmtId="167" fontId="27" fillId="0" borderId="1" xfId="0" applyNumberFormat="1" applyFont="1" applyBorder="1" applyAlignment="1">
      <alignment horizontal="center" vertical="center" wrapText="1"/>
    </xf>
    <xf numFmtId="10" fontId="27" fillId="0" borderId="1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7" borderId="1" xfId="0" applyFont="1" applyFill="1" applyBorder="1" applyAlignment="1">
      <alignment horizontal="center" vertical="center" wrapText="1"/>
    </xf>
    <xf numFmtId="167" fontId="41" fillId="7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/>
    </xf>
    <xf numFmtId="4" fontId="0" fillId="2" borderId="0" xfId="0" applyNumberFormat="1" applyFill="1" applyBorder="1" applyAlignment="1">
      <alignment/>
    </xf>
    <xf numFmtId="0" fontId="36" fillId="0" borderId="0" xfId="0" applyFont="1" applyAlignment="1">
      <alignment wrapText="1"/>
    </xf>
    <xf numFmtId="0" fontId="27" fillId="0" borderId="4" xfId="0" applyFont="1" applyBorder="1" applyAlignment="1">
      <alignment wrapText="1"/>
    </xf>
    <xf numFmtId="0" fontId="40" fillId="0" borderId="1" xfId="0" applyFont="1" applyBorder="1" applyAlignment="1">
      <alignment horizontal="center" vertical="center" wrapText="1"/>
    </xf>
    <xf numFmtId="4" fontId="27" fillId="0" borderId="1" xfId="0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4" fontId="19" fillId="0" borderId="6" xfId="0" applyNumberFormat="1" applyFont="1" applyBorder="1" applyAlignment="1">
      <alignment horizontal="center" vertical="center" wrapText="1"/>
    </xf>
    <xf numFmtId="4" fontId="19" fillId="0" borderId="7" xfId="0" applyNumberFormat="1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41" fillId="4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 wrapText="1"/>
    </xf>
    <xf numFmtId="0" fontId="41" fillId="8" borderId="1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35" fillId="0" borderId="0" xfId="0" applyFont="1" applyAlignment="1">
      <alignment wrapText="1"/>
    </xf>
    <xf numFmtId="164" fontId="42" fillId="2" borderId="0" xfId="0" applyNumberFormat="1" applyFont="1" applyFill="1" applyBorder="1" applyAlignment="1">
      <alignment wrapText="1"/>
    </xf>
    <xf numFmtId="164" fontId="37" fillId="2" borderId="0" xfId="0" applyNumberFormat="1" applyFont="1" applyFill="1" applyBorder="1" applyAlignment="1">
      <alignment horizontal="center" wrapText="1"/>
    </xf>
    <xf numFmtId="164" fontId="37" fillId="2" borderId="0" xfId="0" applyNumberFormat="1" applyFont="1" applyFill="1" applyBorder="1" applyAlignment="1">
      <alignment wrapText="1"/>
    </xf>
    <xf numFmtId="164" fontId="27" fillId="6" borderId="0" xfId="0" applyNumberFormat="1" applyFont="1" applyFill="1" applyBorder="1" applyAlignment="1">
      <alignment horizontal="center" wrapText="1"/>
    </xf>
    <xf numFmtId="164" fontId="41" fillId="0" borderId="0" xfId="0" applyNumberFormat="1" applyFont="1" applyFill="1" applyBorder="1" applyAlignment="1">
      <alignment wrapText="1"/>
    </xf>
    <xf numFmtId="164" fontId="41" fillId="2" borderId="0" xfId="0" applyNumberFormat="1" applyFont="1" applyFill="1" applyBorder="1" applyAlignment="1">
      <alignment wrapText="1"/>
    </xf>
    <xf numFmtId="168" fontId="42" fillId="6" borderId="0" xfId="0" applyNumberFormat="1" applyFont="1" applyFill="1" applyBorder="1" applyAlignment="1">
      <alignment vertical="center" wrapText="1"/>
    </xf>
    <xf numFmtId="0" fontId="27" fillId="6" borderId="1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horizontal="center" vertical="center" wrapText="1"/>
    </xf>
    <xf numFmtId="4" fontId="27" fillId="9" borderId="1" xfId="0" applyNumberFormat="1" applyFont="1" applyFill="1" applyBorder="1" applyAlignment="1">
      <alignment horizontal="center" vertical="center" wrapText="1"/>
    </xf>
    <xf numFmtId="165" fontId="27" fillId="9" borderId="1" xfId="0" applyNumberFormat="1" applyFont="1" applyFill="1" applyBorder="1" applyAlignment="1">
      <alignment horizontal="center" vertical="center" wrapText="1"/>
    </xf>
    <xf numFmtId="0" fontId="41" fillId="13" borderId="1" xfId="0" applyFont="1" applyFill="1" applyBorder="1" applyAlignment="1">
      <alignment horizontal="center" vertical="center" wrapText="1"/>
    </xf>
    <xf numFmtId="0" fontId="41" fillId="8" borderId="1" xfId="0" applyFont="1" applyFill="1" applyBorder="1" applyAlignment="1">
      <alignment horizontal="center" vertical="center" wrapText="1"/>
    </xf>
    <xf numFmtId="4" fontId="41" fillId="8" borderId="1" xfId="0" applyNumberFormat="1" applyFont="1" applyFill="1" applyBorder="1" applyAlignment="1">
      <alignment horizontal="center" vertical="center" wrapText="1"/>
    </xf>
    <xf numFmtId="10" fontId="41" fillId="8" borderId="1" xfId="0" applyNumberFormat="1" applyFont="1" applyFill="1" applyBorder="1" applyAlignment="1">
      <alignment horizontal="center" vertical="center" wrapText="1"/>
    </xf>
    <xf numFmtId="10" fontId="27" fillId="6" borderId="1" xfId="0" applyNumberFormat="1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41" fillId="14" borderId="1" xfId="0" applyFont="1" applyFill="1" applyBorder="1" applyAlignment="1">
      <alignment horizontal="center" vertical="center" wrapText="1"/>
    </xf>
    <xf numFmtId="4" fontId="41" fillId="14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33" fillId="0" borderId="8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7" fillId="0" borderId="1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4" fontId="19" fillId="0" borderId="6" xfId="0" applyNumberFormat="1" applyFont="1" applyBorder="1" applyAlignment="1">
      <alignment horizontal="center" vertical="center" wrapText="1"/>
    </xf>
    <xf numFmtId="4" fontId="19" fillId="0" borderId="7" xfId="0" applyNumberFormat="1" applyFont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uslugi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2"/>
  <sheetViews>
    <sheetView tabSelected="1" zoomScale="150" zoomScaleNormal="150" workbookViewId="0" topLeftCell="A1">
      <selection activeCell="K51" sqref="K51"/>
    </sheetView>
  </sheetViews>
  <sheetFormatPr defaultColWidth="9.140625" defaultRowHeight="12.75"/>
  <cols>
    <col min="1" max="1" width="4.00390625" style="77" customWidth="1"/>
    <col min="2" max="2" width="27.7109375" style="77" customWidth="1"/>
    <col min="3" max="3" width="31.57421875" style="77" customWidth="1"/>
    <col min="4" max="4" width="10.8515625" style="77" customWidth="1"/>
    <col min="5" max="5" width="14.7109375" style="216" customWidth="1"/>
    <col min="6" max="6" width="9.421875" style="1" customWidth="1"/>
    <col min="7" max="7" width="12.140625" style="217" customWidth="1"/>
    <col min="8" max="8" width="11.140625" style="217" customWidth="1"/>
    <col min="9" max="9" width="10.140625" style="217" customWidth="1"/>
    <col min="10" max="10" width="9.57421875" style="217" customWidth="1"/>
    <col min="11" max="11" width="10.421875" style="0" bestFit="1" customWidth="1"/>
  </cols>
  <sheetData>
    <row r="1" spans="1:10" s="2" customFormat="1" ht="13.5">
      <c r="A1" s="219" t="s">
        <v>814</v>
      </c>
      <c r="B1" s="77"/>
      <c r="C1" s="77"/>
      <c r="D1" s="77"/>
      <c r="E1" s="78"/>
      <c r="F1" s="1"/>
      <c r="G1" s="92"/>
      <c r="H1" s="92"/>
      <c r="I1" s="92"/>
      <c r="J1" s="93"/>
    </row>
    <row r="2" spans="1:10" s="104" customFormat="1" ht="112.5">
      <c r="A2" s="100" t="s">
        <v>815</v>
      </c>
      <c r="B2" s="101" t="s">
        <v>816</v>
      </c>
      <c r="C2" s="101" t="s">
        <v>356</v>
      </c>
      <c r="D2" s="101" t="s">
        <v>357</v>
      </c>
      <c r="E2" s="102" t="s">
        <v>358</v>
      </c>
      <c r="F2" s="101" t="s">
        <v>359</v>
      </c>
      <c r="G2" s="103" t="s">
        <v>360</v>
      </c>
      <c r="H2" s="103" t="s">
        <v>361</v>
      </c>
      <c r="I2" s="103" t="s">
        <v>362</v>
      </c>
      <c r="J2" s="103" t="s">
        <v>363</v>
      </c>
    </row>
    <row r="3" spans="1:10" s="16" customFormat="1" ht="12.75">
      <c r="A3" s="365" t="s">
        <v>364</v>
      </c>
      <c r="B3" s="366"/>
      <c r="C3" s="366"/>
      <c r="D3" s="366"/>
      <c r="E3" s="366"/>
      <c r="F3" s="366"/>
      <c r="G3" s="366"/>
      <c r="H3" s="366"/>
      <c r="I3" s="3"/>
      <c r="J3" s="3"/>
    </row>
    <row r="4" spans="1:11" s="17" customFormat="1" ht="12.75">
      <c r="A4" s="4" t="s">
        <v>365</v>
      </c>
      <c r="B4" s="359" t="s">
        <v>366</v>
      </c>
      <c r="C4" s="362"/>
      <c r="D4" s="360"/>
      <c r="E4" s="363"/>
      <c r="F4" s="5" t="s">
        <v>367</v>
      </c>
      <c r="G4" s="34">
        <f>G6+G14+G20+G22+G24+G26</f>
        <v>290459.38</v>
      </c>
      <c r="H4" s="34">
        <f>H6+H14+H20+H22+H24+H26</f>
        <v>290459.38</v>
      </c>
      <c r="I4" s="34">
        <f>I6+I14+I20+I22+I24+I26</f>
        <v>598419</v>
      </c>
      <c r="J4" s="34">
        <f>J6+J14+J20+J22+J24+J26</f>
        <v>598419</v>
      </c>
      <c r="K4" s="106"/>
    </row>
    <row r="5" spans="1:11" s="18" customFormat="1" ht="25.5">
      <c r="A5" s="9">
        <v>1</v>
      </c>
      <c r="B5" s="8" t="s">
        <v>371</v>
      </c>
      <c r="C5" s="8" t="s">
        <v>704</v>
      </c>
      <c r="D5" s="8" t="s">
        <v>707</v>
      </c>
      <c r="E5" s="10" t="s">
        <v>375</v>
      </c>
      <c r="F5" s="61" t="s">
        <v>367</v>
      </c>
      <c r="G5" s="66">
        <v>0</v>
      </c>
      <c r="H5" s="66">
        <v>0</v>
      </c>
      <c r="I5" s="25">
        <v>3200</v>
      </c>
      <c r="J5" s="25">
        <v>3200</v>
      </c>
      <c r="K5" s="106"/>
    </row>
    <row r="6" spans="1:11" s="18" customFormat="1" ht="12.75">
      <c r="A6" s="351"/>
      <c r="B6" s="352"/>
      <c r="C6" s="352"/>
      <c r="D6" s="14" t="s">
        <v>384</v>
      </c>
      <c r="E6" s="14" t="s">
        <v>385</v>
      </c>
      <c r="F6" s="15" t="s">
        <v>367</v>
      </c>
      <c r="G6" s="27">
        <f>SUM(G5)</f>
        <v>0</v>
      </c>
      <c r="H6" s="27">
        <f>SUM(H5)</f>
        <v>0</v>
      </c>
      <c r="I6" s="27">
        <f>SUM(I5)</f>
        <v>3200</v>
      </c>
      <c r="J6" s="27">
        <f>SUM(J5)</f>
        <v>3200</v>
      </c>
      <c r="K6" s="106"/>
    </row>
    <row r="7" spans="1:11" s="19" customFormat="1" ht="25.5">
      <c r="A7" s="21">
        <v>2</v>
      </c>
      <c r="B7" s="21" t="s">
        <v>368</v>
      </c>
      <c r="C7" s="8" t="s">
        <v>206</v>
      </c>
      <c r="D7" s="9" t="s">
        <v>708</v>
      </c>
      <c r="E7" s="10" t="s">
        <v>369</v>
      </c>
      <c r="F7" s="61" t="s">
        <v>367</v>
      </c>
      <c r="G7" s="25">
        <v>0</v>
      </c>
      <c r="H7" s="25">
        <v>0</v>
      </c>
      <c r="I7" s="25">
        <v>2000</v>
      </c>
      <c r="J7" s="25">
        <v>2000</v>
      </c>
      <c r="K7" s="107"/>
    </row>
    <row r="8" spans="1:11" s="18" customFormat="1" ht="25.5">
      <c r="A8" s="9">
        <v>3</v>
      </c>
      <c r="B8" s="8" t="s">
        <v>370</v>
      </c>
      <c r="C8" s="8" t="s">
        <v>705</v>
      </c>
      <c r="D8" s="8" t="s">
        <v>709</v>
      </c>
      <c r="E8" s="10" t="s">
        <v>369</v>
      </c>
      <c r="F8" s="61" t="s">
        <v>367</v>
      </c>
      <c r="G8" s="25">
        <v>0</v>
      </c>
      <c r="H8" s="25">
        <v>0</v>
      </c>
      <c r="I8" s="25">
        <v>11250</v>
      </c>
      <c r="J8" s="25">
        <v>11250</v>
      </c>
      <c r="K8" s="106"/>
    </row>
    <row r="9" spans="1:11" s="18" customFormat="1" ht="25.5">
      <c r="A9" s="21">
        <v>4</v>
      </c>
      <c r="B9" s="8" t="s">
        <v>370</v>
      </c>
      <c r="C9" s="8" t="s">
        <v>705</v>
      </c>
      <c r="D9" s="8" t="s">
        <v>710</v>
      </c>
      <c r="E9" s="10" t="s">
        <v>369</v>
      </c>
      <c r="F9" s="61" t="s">
        <v>367</v>
      </c>
      <c r="G9" s="25">
        <v>0</v>
      </c>
      <c r="H9" s="25">
        <v>0</v>
      </c>
      <c r="I9" s="25">
        <v>33750</v>
      </c>
      <c r="J9" s="25">
        <v>33750</v>
      </c>
      <c r="K9" s="106"/>
    </row>
    <row r="10" spans="1:11" s="18" customFormat="1" ht="25.5">
      <c r="A10" s="9">
        <v>5</v>
      </c>
      <c r="B10" s="8" t="s">
        <v>370</v>
      </c>
      <c r="C10" s="8" t="s">
        <v>206</v>
      </c>
      <c r="D10" s="8" t="s">
        <v>711</v>
      </c>
      <c r="E10" s="10" t="s">
        <v>369</v>
      </c>
      <c r="F10" s="61" t="s">
        <v>367</v>
      </c>
      <c r="G10" s="25">
        <v>0</v>
      </c>
      <c r="H10" s="25">
        <v>0</v>
      </c>
      <c r="I10" s="25">
        <v>71175</v>
      </c>
      <c r="J10" s="25">
        <v>71175</v>
      </c>
      <c r="K10" s="106"/>
    </row>
    <row r="11" spans="1:11" s="18" customFormat="1" ht="25.5">
      <c r="A11" s="21">
        <v>6</v>
      </c>
      <c r="B11" s="8" t="s">
        <v>371</v>
      </c>
      <c r="C11" s="8" t="s">
        <v>705</v>
      </c>
      <c r="D11" s="8" t="s">
        <v>712</v>
      </c>
      <c r="E11" s="10" t="s">
        <v>369</v>
      </c>
      <c r="F11" s="61" t="s">
        <v>367</v>
      </c>
      <c r="G11" s="25">
        <v>0</v>
      </c>
      <c r="H11" s="25">
        <v>0</v>
      </c>
      <c r="I11" s="25">
        <v>96910</v>
      </c>
      <c r="J11" s="25">
        <v>96910</v>
      </c>
      <c r="K11" s="106"/>
    </row>
    <row r="12" spans="1:11" s="18" customFormat="1" ht="25.5">
      <c r="A12" s="9">
        <v>7</v>
      </c>
      <c r="B12" s="8" t="s">
        <v>371</v>
      </c>
      <c r="C12" s="8" t="s">
        <v>705</v>
      </c>
      <c r="D12" s="8" t="s">
        <v>713</v>
      </c>
      <c r="E12" s="10" t="s">
        <v>369</v>
      </c>
      <c r="F12" s="61" t="s">
        <v>367</v>
      </c>
      <c r="G12" s="25">
        <v>0</v>
      </c>
      <c r="H12" s="25">
        <v>0</v>
      </c>
      <c r="I12" s="31">
        <v>50688</v>
      </c>
      <c r="J12" s="31">
        <v>50688</v>
      </c>
      <c r="K12" s="106"/>
    </row>
    <row r="13" spans="1:11" s="18" customFormat="1" ht="25.5">
      <c r="A13" s="21">
        <v>8</v>
      </c>
      <c r="B13" s="8" t="s">
        <v>371</v>
      </c>
      <c r="C13" s="8" t="s">
        <v>706</v>
      </c>
      <c r="D13" s="8" t="s">
        <v>707</v>
      </c>
      <c r="E13" s="10" t="s">
        <v>369</v>
      </c>
      <c r="F13" s="61" t="s">
        <v>367</v>
      </c>
      <c r="G13" s="25">
        <v>0</v>
      </c>
      <c r="H13" s="25">
        <v>0</v>
      </c>
      <c r="I13" s="25">
        <v>7565</v>
      </c>
      <c r="J13" s="25">
        <v>7565</v>
      </c>
      <c r="K13" s="106"/>
    </row>
    <row r="14" spans="1:11" s="18" customFormat="1" ht="12.75">
      <c r="A14" s="351"/>
      <c r="B14" s="352"/>
      <c r="C14" s="352"/>
      <c r="D14" s="14" t="s">
        <v>384</v>
      </c>
      <c r="E14" s="14" t="s">
        <v>381</v>
      </c>
      <c r="F14" s="15" t="s">
        <v>367</v>
      </c>
      <c r="G14" s="27">
        <f>SUM(G7:G13)</f>
        <v>0</v>
      </c>
      <c r="H14" s="27">
        <f>SUM(H7:H13)</f>
        <v>0</v>
      </c>
      <c r="I14" s="27">
        <f>SUM(I7:I13)</f>
        <v>273338</v>
      </c>
      <c r="J14" s="27">
        <f>SUM(J7:J13)</f>
        <v>273338</v>
      </c>
      <c r="K14" s="106"/>
    </row>
    <row r="15" spans="1:11" s="18" customFormat="1" ht="25.5">
      <c r="A15" s="9">
        <v>9</v>
      </c>
      <c r="B15" s="8" t="s">
        <v>371</v>
      </c>
      <c r="C15" s="8" t="s">
        <v>998</v>
      </c>
      <c r="D15" s="8" t="s">
        <v>712</v>
      </c>
      <c r="E15" s="10" t="s">
        <v>372</v>
      </c>
      <c r="F15" s="61" t="s">
        <v>367</v>
      </c>
      <c r="G15" s="66">
        <v>0</v>
      </c>
      <c r="H15" s="66">
        <v>0</v>
      </c>
      <c r="I15" s="31">
        <v>97420</v>
      </c>
      <c r="J15" s="31">
        <v>97420</v>
      </c>
      <c r="K15" s="106"/>
    </row>
    <row r="16" spans="1:11" s="18" customFormat="1" ht="25.5">
      <c r="A16" s="9">
        <v>10</v>
      </c>
      <c r="B16" s="8" t="s">
        <v>371</v>
      </c>
      <c r="C16" s="8" t="s">
        <v>208</v>
      </c>
      <c r="D16" s="8" t="s">
        <v>712</v>
      </c>
      <c r="E16" s="10" t="s">
        <v>372</v>
      </c>
      <c r="F16" s="61" t="s">
        <v>367</v>
      </c>
      <c r="G16" s="66">
        <v>0</v>
      </c>
      <c r="H16" s="66">
        <v>0</v>
      </c>
      <c r="I16" s="31">
        <v>96258</v>
      </c>
      <c r="J16" s="31">
        <v>96258</v>
      </c>
      <c r="K16" s="106"/>
    </row>
    <row r="17" spans="1:11" s="18" customFormat="1" ht="25.5">
      <c r="A17" s="21">
        <v>11</v>
      </c>
      <c r="B17" s="8" t="s">
        <v>371</v>
      </c>
      <c r="C17" s="8" t="s">
        <v>878</v>
      </c>
      <c r="D17" s="8" t="s">
        <v>712</v>
      </c>
      <c r="E17" s="10" t="s">
        <v>372</v>
      </c>
      <c r="F17" s="61" t="s">
        <v>367</v>
      </c>
      <c r="G17" s="66">
        <v>0</v>
      </c>
      <c r="H17" s="66">
        <v>0</v>
      </c>
      <c r="I17" s="31">
        <v>65626</v>
      </c>
      <c r="J17" s="31">
        <v>65626</v>
      </c>
      <c r="K17" s="106"/>
    </row>
    <row r="18" spans="1:11" s="18" customFormat="1" ht="25.5">
      <c r="A18" s="9">
        <v>12</v>
      </c>
      <c r="B18" s="8" t="s">
        <v>371</v>
      </c>
      <c r="C18" s="8" t="s">
        <v>207</v>
      </c>
      <c r="D18" s="8" t="s">
        <v>712</v>
      </c>
      <c r="E18" s="10" t="s">
        <v>372</v>
      </c>
      <c r="F18" s="61" t="s">
        <v>367</v>
      </c>
      <c r="G18" s="66">
        <v>0</v>
      </c>
      <c r="H18" s="66">
        <v>0</v>
      </c>
      <c r="I18" s="31">
        <v>60177</v>
      </c>
      <c r="J18" s="31">
        <v>60177</v>
      </c>
      <c r="K18" s="106"/>
    </row>
    <row r="19" spans="1:11" s="18" customFormat="1" ht="25.5">
      <c r="A19" s="9">
        <v>13</v>
      </c>
      <c r="B19" s="8" t="s">
        <v>373</v>
      </c>
      <c r="C19" s="8" t="s">
        <v>374</v>
      </c>
      <c r="D19" s="8" t="s">
        <v>712</v>
      </c>
      <c r="E19" s="10" t="s">
        <v>372</v>
      </c>
      <c r="F19" s="61" t="s">
        <v>367</v>
      </c>
      <c r="G19" s="66">
        <v>0</v>
      </c>
      <c r="H19" s="66">
        <v>0</v>
      </c>
      <c r="I19" s="31">
        <v>2400</v>
      </c>
      <c r="J19" s="31">
        <v>2400</v>
      </c>
      <c r="K19" s="106"/>
    </row>
    <row r="20" spans="1:11" s="18" customFormat="1" ht="12.75">
      <c r="A20" s="351"/>
      <c r="B20" s="352"/>
      <c r="C20" s="352"/>
      <c r="D20" s="14" t="s">
        <v>384</v>
      </c>
      <c r="E20" s="14" t="s">
        <v>386</v>
      </c>
      <c r="F20" s="15" t="s">
        <v>367</v>
      </c>
      <c r="G20" s="27">
        <f>SUM(G15:G19)</f>
        <v>0</v>
      </c>
      <c r="H20" s="27">
        <f>SUM(H15:H19)</f>
        <v>0</v>
      </c>
      <c r="I20" s="27">
        <f>SUM(I15:I19)</f>
        <v>321881</v>
      </c>
      <c r="J20" s="27">
        <f>SUM(J15:J19)</f>
        <v>321881</v>
      </c>
      <c r="K20" s="106"/>
    </row>
    <row r="21" spans="1:11" s="18" customFormat="1" ht="38.25">
      <c r="A21" s="8">
        <v>14</v>
      </c>
      <c r="B21" s="8" t="s">
        <v>850</v>
      </c>
      <c r="C21" s="8" t="s">
        <v>715</v>
      </c>
      <c r="D21" s="8" t="s">
        <v>714</v>
      </c>
      <c r="E21" s="10" t="s">
        <v>851</v>
      </c>
      <c r="F21" s="61" t="s">
        <v>367</v>
      </c>
      <c r="G21" s="25">
        <v>48712.8</v>
      </c>
      <c r="H21" s="25">
        <v>48712.8</v>
      </c>
      <c r="I21" s="25">
        <v>0</v>
      </c>
      <c r="J21" s="25">
        <v>0</v>
      </c>
      <c r="K21" s="106"/>
    </row>
    <row r="22" spans="1:11" s="18" customFormat="1" ht="12.75">
      <c r="A22" s="24"/>
      <c r="B22" s="8"/>
      <c r="C22" s="8"/>
      <c r="D22" s="29" t="s">
        <v>384</v>
      </c>
      <c r="E22" s="27" t="s">
        <v>851</v>
      </c>
      <c r="F22" s="15" t="s">
        <v>367</v>
      </c>
      <c r="G22" s="27">
        <f>SUM(G21)</f>
        <v>48712.8</v>
      </c>
      <c r="H22" s="27">
        <f>SUM(H21)</f>
        <v>48712.8</v>
      </c>
      <c r="I22" s="27">
        <f>SUM(I21)</f>
        <v>0</v>
      </c>
      <c r="J22" s="27">
        <f>SUM(J21)</f>
        <v>0</v>
      </c>
      <c r="K22" s="106"/>
    </row>
    <row r="23" spans="1:11" s="18" customFormat="1" ht="63.75">
      <c r="A23" s="24">
        <v>14</v>
      </c>
      <c r="B23" s="8" t="s">
        <v>209</v>
      </c>
      <c r="C23" s="8" t="s">
        <v>210</v>
      </c>
      <c r="D23" s="8" t="s">
        <v>716</v>
      </c>
      <c r="E23" s="10" t="s">
        <v>852</v>
      </c>
      <c r="F23" s="61" t="s">
        <v>367</v>
      </c>
      <c r="G23" s="25">
        <v>179385.5</v>
      </c>
      <c r="H23" s="25">
        <v>179385.5</v>
      </c>
      <c r="I23" s="25">
        <v>0</v>
      </c>
      <c r="J23" s="25">
        <v>0</v>
      </c>
      <c r="K23" s="106"/>
    </row>
    <row r="24" spans="1:11" s="18" customFormat="1" ht="12.75">
      <c r="A24" s="111"/>
      <c r="B24" s="112"/>
      <c r="C24" s="112"/>
      <c r="D24" s="29" t="s">
        <v>384</v>
      </c>
      <c r="E24" s="27" t="s">
        <v>852</v>
      </c>
      <c r="F24" s="15" t="s">
        <v>367</v>
      </c>
      <c r="G24" s="27">
        <f>SUM(G23)</f>
        <v>179385.5</v>
      </c>
      <c r="H24" s="27">
        <f>SUM(H23)</f>
        <v>179385.5</v>
      </c>
      <c r="I24" s="27">
        <f>SUM(I23)</f>
        <v>0</v>
      </c>
      <c r="J24" s="27">
        <f>SUM(J23)</f>
        <v>0</v>
      </c>
      <c r="K24" s="106"/>
    </row>
    <row r="25" spans="1:11" s="18" customFormat="1" ht="38.25">
      <c r="A25" s="24">
        <v>15</v>
      </c>
      <c r="B25" s="8" t="s">
        <v>853</v>
      </c>
      <c r="C25" s="8" t="s">
        <v>999</v>
      </c>
      <c r="D25" s="8" t="s">
        <v>717</v>
      </c>
      <c r="E25" s="26" t="s">
        <v>854</v>
      </c>
      <c r="F25" s="61" t="s">
        <v>367</v>
      </c>
      <c r="G25" s="66">
        <v>62361.08</v>
      </c>
      <c r="H25" s="66">
        <v>62361.08</v>
      </c>
      <c r="I25" s="66">
        <v>0</v>
      </c>
      <c r="J25" s="66">
        <v>0</v>
      </c>
      <c r="K25" s="106"/>
    </row>
    <row r="26" spans="1:11" s="18" customFormat="1" ht="12.75">
      <c r="A26" s="24"/>
      <c r="B26" s="357"/>
      <c r="C26" s="357"/>
      <c r="D26" s="29" t="s">
        <v>384</v>
      </c>
      <c r="E26" s="27" t="s">
        <v>854</v>
      </c>
      <c r="F26" s="15" t="s">
        <v>367</v>
      </c>
      <c r="G26" s="30">
        <f>G25</f>
        <v>62361.08</v>
      </c>
      <c r="H26" s="30">
        <f>H25</f>
        <v>62361.08</v>
      </c>
      <c r="I26" s="30">
        <f>SUM(I25)</f>
        <v>0</v>
      </c>
      <c r="J26" s="30">
        <f>SUM(J25)</f>
        <v>0</v>
      </c>
      <c r="K26" s="106"/>
    </row>
    <row r="27" spans="1:11" s="17" customFormat="1" ht="12.75">
      <c r="A27" s="4" t="s">
        <v>376</v>
      </c>
      <c r="B27" s="359" t="s">
        <v>377</v>
      </c>
      <c r="C27" s="362"/>
      <c r="D27" s="360"/>
      <c r="E27" s="363"/>
      <c r="F27" s="5" t="s">
        <v>367</v>
      </c>
      <c r="G27" s="34">
        <f>G29+G36+G40</f>
        <v>0</v>
      </c>
      <c r="H27" s="34">
        <f>H29+H36+H40</f>
        <v>0</v>
      </c>
      <c r="I27" s="34">
        <f>I29+I36+I40</f>
        <v>189836.36</v>
      </c>
      <c r="J27" s="34">
        <f>J29+J36+J40</f>
        <v>189836.36</v>
      </c>
      <c r="K27" s="106"/>
    </row>
    <row r="28" spans="1:10" s="50" customFormat="1" ht="25.5">
      <c r="A28" s="8">
        <v>1</v>
      </c>
      <c r="B28" s="8" t="s">
        <v>88</v>
      </c>
      <c r="C28" s="8" t="s">
        <v>107</v>
      </c>
      <c r="D28" s="8" t="s">
        <v>718</v>
      </c>
      <c r="E28" s="10" t="s">
        <v>375</v>
      </c>
      <c r="F28" s="61" t="s">
        <v>367</v>
      </c>
      <c r="G28" s="31">
        <v>0</v>
      </c>
      <c r="H28" s="31">
        <v>0</v>
      </c>
      <c r="I28" s="31">
        <v>24657.36</v>
      </c>
      <c r="J28" s="31">
        <v>24657.36</v>
      </c>
    </row>
    <row r="29" spans="1:10" s="52" customFormat="1" ht="12.75">
      <c r="A29" s="59"/>
      <c r="B29" s="59"/>
      <c r="C29" s="113"/>
      <c r="D29" s="60" t="s">
        <v>384</v>
      </c>
      <c r="E29" s="27" t="s">
        <v>375</v>
      </c>
      <c r="F29" s="15" t="s">
        <v>367</v>
      </c>
      <c r="G29" s="27">
        <f>SUM(G28)</f>
        <v>0</v>
      </c>
      <c r="H29" s="27">
        <f>SUM(H28)</f>
        <v>0</v>
      </c>
      <c r="I29" s="27">
        <f>SUM(I28)</f>
        <v>24657.36</v>
      </c>
      <c r="J29" s="27">
        <f>SUM(J28)</f>
        <v>24657.36</v>
      </c>
    </row>
    <row r="30" spans="1:11" s="20" customFormat="1" ht="51">
      <c r="A30" s="9">
        <v>2</v>
      </c>
      <c r="B30" s="9" t="s">
        <v>378</v>
      </c>
      <c r="C30" s="9" t="s">
        <v>379</v>
      </c>
      <c r="D30" s="9" t="s">
        <v>380</v>
      </c>
      <c r="E30" s="12" t="s">
        <v>381</v>
      </c>
      <c r="F30" s="13" t="s">
        <v>367</v>
      </c>
      <c r="G30" s="66">
        <v>0</v>
      </c>
      <c r="H30" s="66">
        <v>0</v>
      </c>
      <c r="I30" s="66">
        <v>13770</v>
      </c>
      <c r="J30" s="66">
        <v>13770</v>
      </c>
      <c r="K30" s="106"/>
    </row>
    <row r="31" spans="1:11" s="20" customFormat="1" ht="51">
      <c r="A31" s="9">
        <v>3</v>
      </c>
      <c r="B31" s="9" t="s">
        <v>382</v>
      </c>
      <c r="C31" s="9" t="s">
        <v>383</v>
      </c>
      <c r="D31" s="9" t="s">
        <v>380</v>
      </c>
      <c r="E31" s="12" t="s">
        <v>381</v>
      </c>
      <c r="F31" s="13" t="s">
        <v>367</v>
      </c>
      <c r="G31" s="66">
        <v>0</v>
      </c>
      <c r="H31" s="66">
        <v>0</v>
      </c>
      <c r="I31" s="66">
        <v>15677</v>
      </c>
      <c r="J31" s="66">
        <v>15677</v>
      </c>
      <c r="K31" s="106"/>
    </row>
    <row r="32" spans="1:10" s="50" customFormat="1" ht="25.5">
      <c r="A32" s="9">
        <v>4</v>
      </c>
      <c r="B32" s="8" t="s">
        <v>80</v>
      </c>
      <c r="C32" s="8" t="s">
        <v>81</v>
      </c>
      <c r="D32" s="8" t="s">
        <v>82</v>
      </c>
      <c r="E32" s="10" t="s">
        <v>369</v>
      </c>
      <c r="F32" s="61" t="s">
        <v>367</v>
      </c>
      <c r="G32" s="31">
        <v>0</v>
      </c>
      <c r="H32" s="31">
        <v>0</v>
      </c>
      <c r="I32" s="31">
        <v>2025</v>
      </c>
      <c r="J32" s="31">
        <v>2025</v>
      </c>
    </row>
    <row r="33" spans="1:10" s="50" customFormat="1" ht="51">
      <c r="A33" s="9">
        <v>5</v>
      </c>
      <c r="B33" s="8" t="s">
        <v>83</v>
      </c>
      <c r="C33" s="8" t="s">
        <v>81</v>
      </c>
      <c r="D33" s="8" t="s">
        <v>84</v>
      </c>
      <c r="E33" s="10" t="s">
        <v>369</v>
      </c>
      <c r="F33" s="61" t="s">
        <v>367</v>
      </c>
      <c r="G33" s="31">
        <v>0</v>
      </c>
      <c r="H33" s="31">
        <v>0</v>
      </c>
      <c r="I33" s="31">
        <v>19006</v>
      </c>
      <c r="J33" s="31">
        <v>19006</v>
      </c>
    </row>
    <row r="34" spans="1:10" s="50" customFormat="1" ht="25.5">
      <c r="A34" s="9">
        <v>6</v>
      </c>
      <c r="B34" s="8" t="s">
        <v>85</v>
      </c>
      <c r="C34" s="8" t="s">
        <v>871</v>
      </c>
      <c r="D34" s="8" t="s">
        <v>86</v>
      </c>
      <c r="E34" s="10" t="s">
        <v>369</v>
      </c>
      <c r="F34" s="61" t="s">
        <v>367</v>
      </c>
      <c r="G34" s="31">
        <v>0</v>
      </c>
      <c r="H34" s="31">
        <v>0</v>
      </c>
      <c r="I34" s="31">
        <v>13500</v>
      </c>
      <c r="J34" s="31">
        <v>13500</v>
      </c>
    </row>
    <row r="35" spans="1:10" s="50" customFormat="1" ht="25.5">
      <c r="A35" s="9">
        <v>7</v>
      </c>
      <c r="B35" s="8" t="s">
        <v>85</v>
      </c>
      <c r="C35" s="8" t="s">
        <v>871</v>
      </c>
      <c r="D35" s="8" t="s">
        <v>87</v>
      </c>
      <c r="E35" s="10" t="s">
        <v>369</v>
      </c>
      <c r="F35" s="61" t="s">
        <v>367</v>
      </c>
      <c r="G35" s="31">
        <v>0</v>
      </c>
      <c r="H35" s="31">
        <v>0</v>
      </c>
      <c r="I35" s="31">
        <v>6320</v>
      </c>
      <c r="J35" s="31">
        <v>6320</v>
      </c>
    </row>
    <row r="36" spans="1:10" s="51" customFormat="1" ht="12.75">
      <c r="A36" s="9">
        <v>8</v>
      </c>
      <c r="B36" s="8"/>
      <c r="C36" s="24"/>
      <c r="D36" s="114" t="s">
        <v>384</v>
      </c>
      <c r="E36" s="27" t="s">
        <v>369</v>
      </c>
      <c r="F36" s="62" t="s">
        <v>367</v>
      </c>
      <c r="G36" s="44">
        <f>SUM(G30:G35)</f>
        <v>0</v>
      </c>
      <c r="H36" s="44">
        <f>SUM(H30:H35)</f>
        <v>0</v>
      </c>
      <c r="I36" s="44">
        <f>SUM(I30:I35)</f>
        <v>70298</v>
      </c>
      <c r="J36" s="44">
        <f>SUM(J30:J35)</f>
        <v>70298</v>
      </c>
    </row>
    <row r="37" spans="1:10" s="50" customFormat="1" ht="25.5">
      <c r="A37" s="9">
        <v>9</v>
      </c>
      <c r="B37" s="8" t="s">
        <v>108</v>
      </c>
      <c r="C37" s="8" t="s">
        <v>109</v>
      </c>
      <c r="D37" s="35" t="s">
        <v>110</v>
      </c>
      <c r="E37" s="10" t="s">
        <v>372</v>
      </c>
      <c r="F37" s="61" t="s">
        <v>367</v>
      </c>
      <c r="G37" s="25">
        <v>0</v>
      </c>
      <c r="H37" s="25">
        <v>0</v>
      </c>
      <c r="I37" s="25">
        <v>5106</v>
      </c>
      <c r="J37" s="25">
        <v>5106</v>
      </c>
    </row>
    <row r="38" spans="1:10" s="50" customFormat="1" ht="25.5">
      <c r="A38" s="9">
        <v>10</v>
      </c>
      <c r="B38" s="8" t="s">
        <v>111</v>
      </c>
      <c r="C38" s="8" t="s">
        <v>109</v>
      </c>
      <c r="D38" s="35" t="s">
        <v>838</v>
      </c>
      <c r="E38" s="10" t="s">
        <v>372</v>
      </c>
      <c r="F38" s="61" t="s">
        <v>367</v>
      </c>
      <c r="G38" s="25">
        <v>0</v>
      </c>
      <c r="H38" s="25">
        <v>0</v>
      </c>
      <c r="I38" s="25">
        <v>57100</v>
      </c>
      <c r="J38" s="25">
        <v>57100</v>
      </c>
    </row>
    <row r="39" spans="1:10" s="50" customFormat="1" ht="38.25">
      <c r="A39" s="9">
        <v>11</v>
      </c>
      <c r="B39" s="8" t="s">
        <v>112</v>
      </c>
      <c r="C39" s="8" t="s">
        <v>211</v>
      </c>
      <c r="D39" s="35" t="s">
        <v>113</v>
      </c>
      <c r="E39" s="10" t="s">
        <v>372</v>
      </c>
      <c r="F39" s="61" t="s">
        <v>367</v>
      </c>
      <c r="G39" s="25">
        <v>0</v>
      </c>
      <c r="H39" s="25">
        <v>0</v>
      </c>
      <c r="I39" s="25">
        <v>32675</v>
      </c>
      <c r="J39" s="25">
        <v>32675</v>
      </c>
    </row>
    <row r="40" spans="1:10" s="52" customFormat="1" ht="12.75">
      <c r="A40" s="59"/>
      <c r="B40" s="59"/>
      <c r="C40" s="113"/>
      <c r="D40" s="60" t="s">
        <v>384</v>
      </c>
      <c r="E40" s="27" t="s">
        <v>372</v>
      </c>
      <c r="F40" s="15" t="s">
        <v>367</v>
      </c>
      <c r="G40" s="27">
        <f>SUM(G37:G39)</f>
        <v>0</v>
      </c>
      <c r="H40" s="27">
        <f>SUM(H37:H39)</f>
        <v>0</v>
      </c>
      <c r="I40" s="27">
        <f>SUM(I37:I39)</f>
        <v>94881</v>
      </c>
      <c r="J40" s="27">
        <f>SUM(J37:J39)</f>
        <v>94881</v>
      </c>
    </row>
    <row r="41" spans="1:11" s="7" customFormat="1" ht="12.75">
      <c r="A41" s="4" t="s">
        <v>387</v>
      </c>
      <c r="B41" s="359" t="s">
        <v>830</v>
      </c>
      <c r="C41" s="362"/>
      <c r="D41" s="360"/>
      <c r="E41" s="363"/>
      <c r="F41" s="5" t="s">
        <v>367</v>
      </c>
      <c r="G41" s="34">
        <f>G43+G53+G58+G60</f>
        <v>0</v>
      </c>
      <c r="H41" s="34">
        <f>H43+H53+H58+H60</f>
        <v>0</v>
      </c>
      <c r="I41" s="34">
        <f>I43+I53+I58+I60</f>
        <v>440853</v>
      </c>
      <c r="J41" s="34">
        <f>J43+J53+J58+J60</f>
        <v>440853</v>
      </c>
      <c r="K41" s="106"/>
    </row>
    <row r="42" spans="1:10" ht="25.5">
      <c r="A42" s="8">
        <v>1</v>
      </c>
      <c r="B42" s="8" t="s">
        <v>861</v>
      </c>
      <c r="C42" s="8" t="s">
        <v>862</v>
      </c>
      <c r="D42" s="8" t="s">
        <v>838</v>
      </c>
      <c r="E42" s="10" t="s">
        <v>867</v>
      </c>
      <c r="F42" s="13" t="s">
        <v>367</v>
      </c>
      <c r="G42" s="31">
        <v>0</v>
      </c>
      <c r="H42" s="31">
        <v>0</v>
      </c>
      <c r="I42" s="31">
        <v>23052</v>
      </c>
      <c r="J42" s="31">
        <v>23052</v>
      </c>
    </row>
    <row r="43" spans="1:10" s="32" customFormat="1" ht="12.75">
      <c r="A43" s="59"/>
      <c r="B43" s="59"/>
      <c r="C43" s="113"/>
      <c r="D43" s="60" t="s">
        <v>384</v>
      </c>
      <c r="E43" s="27" t="s">
        <v>867</v>
      </c>
      <c r="F43" s="15" t="s">
        <v>367</v>
      </c>
      <c r="G43" s="27">
        <f>SUM(G42)</f>
        <v>0</v>
      </c>
      <c r="H43" s="27">
        <f>SUM(H42)</f>
        <v>0</v>
      </c>
      <c r="I43" s="27">
        <f>SUM(I42)</f>
        <v>23052</v>
      </c>
      <c r="J43" s="27">
        <f>SUM(J42)</f>
        <v>23052</v>
      </c>
    </row>
    <row r="44" spans="1:11" s="11" customFormat="1" ht="51">
      <c r="A44" s="21">
        <v>2</v>
      </c>
      <c r="B44" s="8" t="s">
        <v>831</v>
      </c>
      <c r="C44" s="8" t="s">
        <v>719</v>
      </c>
      <c r="D44" s="8" t="s">
        <v>721</v>
      </c>
      <c r="E44" s="10" t="s">
        <v>832</v>
      </c>
      <c r="F44" s="13" t="s">
        <v>367</v>
      </c>
      <c r="G44" s="66">
        <v>0</v>
      </c>
      <c r="H44" s="66">
        <v>0</v>
      </c>
      <c r="I44" s="25">
        <v>8400</v>
      </c>
      <c r="J44" s="25">
        <v>8400</v>
      </c>
      <c r="K44" s="107"/>
    </row>
    <row r="45" spans="1:11" s="11" customFormat="1" ht="25.5">
      <c r="A45" s="21">
        <v>3</v>
      </c>
      <c r="B45" s="8" t="s">
        <v>833</v>
      </c>
      <c r="C45" s="8" t="s">
        <v>720</v>
      </c>
      <c r="D45" s="8" t="s">
        <v>722</v>
      </c>
      <c r="E45" s="10" t="s">
        <v>832</v>
      </c>
      <c r="F45" s="13" t="s">
        <v>367</v>
      </c>
      <c r="G45" s="66">
        <v>0</v>
      </c>
      <c r="H45" s="66">
        <v>0</v>
      </c>
      <c r="I45" s="25">
        <v>24600</v>
      </c>
      <c r="J45" s="25">
        <v>24600</v>
      </c>
      <c r="K45" s="107"/>
    </row>
    <row r="46" spans="1:11" s="22" customFormat="1" ht="38.25">
      <c r="A46" s="21">
        <v>4</v>
      </c>
      <c r="B46" s="9" t="s">
        <v>836</v>
      </c>
      <c r="C46" s="9" t="s">
        <v>837</v>
      </c>
      <c r="D46" s="9" t="s">
        <v>838</v>
      </c>
      <c r="E46" s="12" t="s">
        <v>839</v>
      </c>
      <c r="F46" s="13" t="s">
        <v>367</v>
      </c>
      <c r="G46" s="66">
        <v>0</v>
      </c>
      <c r="H46" s="66">
        <v>0</v>
      </c>
      <c r="I46" s="66">
        <v>17540</v>
      </c>
      <c r="J46" s="66">
        <v>17540</v>
      </c>
      <c r="K46" s="106"/>
    </row>
    <row r="47" spans="1:11" s="22" customFormat="1" ht="38.25">
      <c r="A47" s="21">
        <v>5</v>
      </c>
      <c r="B47" s="9" t="s">
        <v>840</v>
      </c>
      <c r="C47" s="9" t="s">
        <v>841</v>
      </c>
      <c r="D47" s="9" t="s">
        <v>842</v>
      </c>
      <c r="E47" s="12" t="s">
        <v>839</v>
      </c>
      <c r="F47" s="13" t="s">
        <v>367</v>
      </c>
      <c r="G47" s="66">
        <v>0</v>
      </c>
      <c r="H47" s="66">
        <v>0</v>
      </c>
      <c r="I47" s="66">
        <v>72000</v>
      </c>
      <c r="J47" s="66">
        <v>72000</v>
      </c>
      <c r="K47" s="106"/>
    </row>
    <row r="48" spans="1:11" s="22" customFormat="1" ht="38.25">
      <c r="A48" s="21">
        <v>6</v>
      </c>
      <c r="B48" s="9" t="s">
        <v>843</v>
      </c>
      <c r="C48" s="9" t="s">
        <v>844</v>
      </c>
      <c r="D48" s="9" t="s">
        <v>842</v>
      </c>
      <c r="E48" s="12" t="s">
        <v>839</v>
      </c>
      <c r="F48" s="13" t="s">
        <v>367</v>
      </c>
      <c r="G48" s="66">
        <v>0</v>
      </c>
      <c r="H48" s="66">
        <v>0</v>
      </c>
      <c r="I48" s="66">
        <v>20411</v>
      </c>
      <c r="J48" s="66">
        <v>20411</v>
      </c>
      <c r="K48" s="106"/>
    </row>
    <row r="49" spans="1:11" s="22" customFormat="1" ht="31.5" customHeight="1">
      <c r="A49" s="21">
        <v>7</v>
      </c>
      <c r="B49" s="9" t="s">
        <v>845</v>
      </c>
      <c r="C49" s="9" t="s">
        <v>846</v>
      </c>
      <c r="D49" s="9" t="s">
        <v>847</v>
      </c>
      <c r="E49" s="12" t="s">
        <v>839</v>
      </c>
      <c r="F49" s="13" t="s">
        <v>367</v>
      </c>
      <c r="G49" s="66">
        <v>0</v>
      </c>
      <c r="H49" s="66">
        <v>0</v>
      </c>
      <c r="I49" s="66">
        <v>80000</v>
      </c>
      <c r="J49" s="66">
        <v>80000</v>
      </c>
      <c r="K49" s="106"/>
    </row>
    <row r="50" spans="1:11" s="22" customFormat="1" ht="29.25" customHeight="1">
      <c r="A50" s="21">
        <v>8</v>
      </c>
      <c r="B50" s="9" t="s">
        <v>845</v>
      </c>
      <c r="C50" s="9" t="s">
        <v>379</v>
      </c>
      <c r="D50" s="9" t="s">
        <v>848</v>
      </c>
      <c r="E50" s="12" t="s">
        <v>839</v>
      </c>
      <c r="F50" s="13" t="s">
        <v>367</v>
      </c>
      <c r="G50" s="66">
        <v>0</v>
      </c>
      <c r="H50" s="66">
        <v>0</v>
      </c>
      <c r="I50" s="66">
        <v>9400</v>
      </c>
      <c r="J50" s="66">
        <v>9400</v>
      </c>
      <c r="K50" s="106"/>
    </row>
    <row r="51" spans="1:11" s="23" customFormat="1" ht="29.25" customHeight="1">
      <c r="A51" s="21">
        <v>9</v>
      </c>
      <c r="B51" s="9" t="s">
        <v>845</v>
      </c>
      <c r="C51" s="9" t="s">
        <v>212</v>
      </c>
      <c r="D51" s="9" t="s">
        <v>848</v>
      </c>
      <c r="E51" s="12" t="s">
        <v>839</v>
      </c>
      <c r="F51" s="13" t="s">
        <v>367</v>
      </c>
      <c r="G51" s="66">
        <v>0</v>
      </c>
      <c r="H51" s="66">
        <v>0</v>
      </c>
      <c r="I51" s="66">
        <v>5909</v>
      </c>
      <c r="J51" s="66">
        <v>5909</v>
      </c>
      <c r="K51" s="299"/>
    </row>
    <row r="52" spans="1:10" ht="38.25">
      <c r="A52" s="21">
        <v>10</v>
      </c>
      <c r="B52" s="8" t="s">
        <v>855</v>
      </c>
      <c r="C52" s="8" t="s">
        <v>1000</v>
      </c>
      <c r="D52" s="8" t="s">
        <v>863</v>
      </c>
      <c r="E52" s="10" t="s">
        <v>832</v>
      </c>
      <c r="F52" s="13" t="s">
        <v>367</v>
      </c>
      <c r="G52" s="31">
        <v>0</v>
      </c>
      <c r="H52" s="31">
        <v>0</v>
      </c>
      <c r="I52" s="31">
        <v>15094</v>
      </c>
      <c r="J52" s="31">
        <v>15094</v>
      </c>
    </row>
    <row r="53" spans="1:11" s="22" customFormat="1" ht="12.75">
      <c r="A53" s="358"/>
      <c r="B53" s="358"/>
      <c r="C53" s="358"/>
      <c r="D53" s="14" t="s">
        <v>384</v>
      </c>
      <c r="E53" s="14" t="s">
        <v>839</v>
      </c>
      <c r="F53" s="15" t="s">
        <v>367</v>
      </c>
      <c r="G53" s="27">
        <f>SUM(G44:G52)</f>
        <v>0</v>
      </c>
      <c r="H53" s="27">
        <f>SUM(H44:H52)</f>
        <v>0</v>
      </c>
      <c r="I53" s="27">
        <f>SUM(I44:I52)</f>
        <v>253354</v>
      </c>
      <c r="J53" s="27">
        <f>SUM(J44:J52)</f>
        <v>253354</v>
      </c>
      <c r="K53" s="106"/>
    </row>
    <row r="54" spans="1:11" s="22" customFormat="1" ht="25.5">
      <c r="A54" s="9">
        <v>11</v>
      </c>
      <c r="B54" s="8" t="s">
        <v>835</v>
      </c>
      <c r="C54" s="8" t="s">
        <v>214</v>
      </c>
      <c r="D54" s="8" t="s">
        <v>721</v>
      </c>
      <c r="E54" s="10" t="s">
        <v>834</v>
      </c>
      <c r="F54" s="13" t="s">
        <v>367</v>
      </c>
      <c r="G54" s="66">
        <v>0</v>
      </c>
      <c r="H54" s="66">
        <v>0</v>
      </c>
      <c r="I54" s="25">
        <v>21421</v>
      </c>
      <c r="J54" s="25">
        <v>21421</v>
      </c>
      <c r="K54" s="106"/>
    </row>
    <row r="55" spans="1:10" ht="25.5">
      <c r="A55" s="8">
        <v>12</v>
      </c>
      <c r="B55" s="8" t="s">
        <v>859</v>
      </c>
      <c r="C55" s="8" t="s">
        <v>860</v>
      </c>
      <c r="D55" s="8" t="s">
        <v>865</v>
      </c>
      <c r="E55" s="10" t="s">
        <v>834</v>
      </c>
      <c r="F55" s="13" t="s">
        <v>367</v>
      </c>
      <c r="G55" s="31">
        <v>0</v>
      </c>
      <c r="H55" s="31">
        <v>0</v>
      </c>
      <c r="I55" s="31">
        <v>21650</v>
      </c>
      <c r="J55" s="31">
        <v>21650</v>
      </c>
    </row>
    <row r="56" spans="1:10" ht="25.5">
      <c r="A56" s="9">
        <v>13</v>
      </c>
      <c r="B56" s="8" t="s">
        <v>858</v>
      </c>
      <c r="C56" s="8" t="s">
        <v>169</v>
      </c>
      <c r="D56" s="8" t="s">
        <v>838</v>
      </c>
      <c r="E56" s="10" t="s">
        <v>834</v>
      </c>
      <c r="F56" s="13" t="s">
        <v>367</v>
      </c>
      <c r="G56" s="31">
        <v>0</v>
      </c>
      <c r="H56" s="31">
        <v>0</v>
      </c>
      <c r="I56" s="31">
        <v>20724</v>
      </c>
      <c r="J56" s="31">
        <v>20724</v>
      </c>
    </row>
    <row r="57" spans="1:11" s="11" customFormat="1" ht="63.75">
      <c r="A57" s="8">
        <v>14</v>
      </c>
      <c r="B57" s="8" t="s">
        <v>177</v>
      </c>
      <c r="C57" s="8" t="s">
        <v>213</v>
      </c>
      <c r="D57" s="8" t="s">
        <v>721</v>
      </c>
      <c r="E57" s="10" t="s">
        <v>834</v>
      </c>
      <c r="F57" s="13" t="s">
        <v>367</v>
      </c>
      <c r="G57" s="31">
        <v>0</v>
      </c>
      <c r="H57" s="31">
        <v>0</v>
      </c>
      <c r="I57" s="25">
        <v>48000</v>
      </c>
      <c r="J57" s="25">
        <v>48000</v>
      </c>
      <c r="K57" s="107"/>
    </row>
    <row r="58" spans="1:11" s="22" customFormat="1" ht="12.75">
      <c r="A58" s="358"/>
      <c r="B58" s="358"/>
      <c r="C58" s="358"/>
      <c r="D58" s="14" t="s">
        <v>384</v>
      </c>
      <c r="E58" s="14" t="s">
        <v>849</v>
      </c>
      <c r="F58" s="15" t="s">
        <v>367</v>
      </c>
      <c r="G58" s="27">
        <f>SUM(G54:G57)</f>
        <v>0</v>
      </c>
      <c r="H58" s="27">
        <f>SUM(H54:H57)</f>
        <v>0</v>
      </c>
      <c r="I58" s="27">
        <f>SUM(I54:I57)</f>
        <v>111795</v>
      </c>
      <c r="J58" s="27">
        <f>SUM(J54:J57)</f>
        <v>111795</v>
      </c>
      <c r="K58" s="106"/>
    </row>
    <row r="59" spans="1:10" ht="25.5">
      <c r="A59" s="8">
        <v>15</v>
      </c>
      <c r="B59" s="8" t="s">
        <v>856</v>
      </c>
      <c r="C59" s="8" t="s">
        <v>857</v>
      </c>
      <c r="D59" s="8" t="s">
        <v>864</v>
      </c>
      <c r="E59" s="10" t="s">
        <v>866</v>
      </c>
      <c r="F59" s="13" t="s">
        <v>367</v>
      </c>
      <c r="G59" s="25">
        <v>0</v>
      </c>
      <c r="H59" s="25">
        <v>0</v>
      </c>
      <c r="I59" s="31">
        <v>52652</v>
      </c>
      <c r="J59" s="25">
        <v>52652</v>
      </c>
    </row>
    <row r="60" spans="1:10" s="33" customFormat="1" ht="12.75">
      <c r="A60" s="59"/>
      <c r="B60" s="59"/>
      <c r="C60" s="59"/>
      <c r="D60" s="60" t="s">
        <v>384</v>
      </c>
      <c r="E60" s="27" t="s">
        <v>866</v>
      </c>
      <c r="F60" s="15" t="s">
        <v>367</v>
      </c>
      <c r="G60" s="27">
        <f>SUM(G59)</f>
        <v>0</v>
      </c>
      <c r="H60" s="27">
        <f>SUM(H59)</f>
        <v>0</v>
      </c>
      <c r="I60" s="27">
        <f>SUM(I59)</f>
        <v>52652</v>
      </c>
      <c r="J60" s="27">
        <f>SUM(J59)</f>
        <v>52652</v>
      </c>
    </row>
    <row r="61" spans="1:10" ht="12.75">
      <c r="A61" s="46" t="s">
        <v>804</v>
      </c>
      <c r="B61" s="359" t="s">
        <v>805</v>
      </c>
      <c r="C61" s="374"/>
      <c r="D61" s="360"/>
      <c r="E61" s="363"/>
      <c r="F61" s="5" t="s">
        <v>367</v>
      </c>
      <c r="G61" s="34">
        <f>G63</f>
        <v>0</v>
      </c>
      <c r="H61" s="34">
        <f>H63</f>
        <v>0</v>
      </c>
      <c r="I61" s="34">
        <f>I63</f>
        <v>42621</v>
      </c>
      <c r="J61" s="34">
        <f>J63</f>
        <v>42621</v>
      </c>
    </row>
    <row r="62" spans="1:10" ht="25.5">
      <c r="A62" s="8">
        <v>1</v>
      </c>
      <c r="B62" s="8" t="s">
        <v>868</v>
      </c>
      <c r="C62" s="8" t="s">
        <v>869</v>
      </c>
      <c r="D62" s="8" t="s">
        <v>838</v>
      </c>
      <c r="E62" s="10" t="s">
        <v>832</v>
      </c>
      <c r="F62" s="13" t="s">
        <v>367</v>
      </c>
      <c r="G62" s="31">
        <v>0</v>
      </c>
      <c r="H62" s="31">
        <v>0</v>
      </c>
      <c r="I62" s="31">
        <v>42621</v>
      </c>
      <c r="J62" s="31">
        <v>42621</v>
      </c>
    </row>
    <row r="63" spans="1:10" s="32" customFormat="1" ht="12.75">
      <c r="A63" s="59"/>
      <c r="B63" s="59"/>
      <c r="C63" s="113"/>
      <c r="D63" s="60" t="s">
        <v>384</v>
      </c>
      <c r="E63" s="27" t="s">
        <v>832</v>
      </c>
      <c r="F63" s="15" t="s">
        <v>367</v>
      </c>
      <c r="G63" s="27">
        <f>SUM(G62)</f>
        <v>0</v>
      </c>
      <c r="H63" s="27">
        <f>SUM(H62)</f>
        <v>0</v>
      </c>
      <c r="I63" s="27">
        <f>SUM(I62)</f>
        <v>42621</v>
      </c>
      <c r="J63" s="27">
        <f>SUM(J62)</f>
        <v>42621</v>
      </c>
    </row>
    <row r="64" spans="1:10" ht="12.75">
      <c r="A64" s="46" t="s">
        <v>806</v>
      </c>
      <c r="B64" s="359" t="s">
        <v>807</v>
      </c>
      <c r="C64" s="362"/>
      <c r="D64" s="364"/>
      <c r="E64" s="361"/>
      <c r="F64" s="5" t="s">
        <v>367</v>
      </c>
      <c r="G64" s="34">
        <f>G66</f>
        <v>45424</v>
      </c>
      <c r="H64" s="34">
        <f>H66</f>
        <v>45424</v>
      </c>
      <c r="I64" s="34">
        <f>I66</f>
        <v>0</v>
      </c>
      <c r="J64" s="34">
        <f>J66</f>
        <v>0</v>
      </c>
    </row>
    <row r="65" spans="1:10" ht="51">
      <c r="A65" s="8">
        <v>1</v>
      </c>
      <c r="B65" s="8" t="s">
        <v>870</v>
      </c>
      <c r="C65" s="8" t="s">
        <v>871</v>
      </c>
      <c r="D65" s="8" t="s">
        <v>872</v>
      </c>
      <c r="E65" s="10" t="s">
        <v>851</v>
      </c>
      <c r="F65" s="13" t="s">
        <v>367</v>
      </c>
      <c r="G65" s="31">
        <v>45424</v>
      </c>
      <c r="H65" s="31">
        <v>45424</v>
      </c>
      <c r="I65" s="31">
        <v>0</v>
      </c>
      <c r="J65" s="31">
        <v>0</v>
      </c>
    </row>
    <row r="66" spans="1:10" s="33" customFormat="1" ht="12.75">
      <c r="A66" s="59"/>
      <c r="B66" s="59"/>
      <c r="C66" s="113"/>
      <c r="D66" s="60" t="s">
        <v>384</v>
      </c>
      <c r="E66" s="27" t="s">
        <v>851</v>
      </c>
      <c r="F66" s="15" t="s">
        <v>367</v>
      </c>
      <c r="G66" s="27">
        <f>SUM(G65)</f>
        <v>45424</v>
      </c>
      <c r="H66" s="27">
        <f>SUM(H65)</f>
        <v>45424</v>
      </c>
      <c r="I66" s="27">
        <f>SUM(I65)</f>
        <v>0</v>
      </c>
      <c r="J66" s="27">
        <f>SUM(J65)</f>
        <v>0</v>
      </c>
    </row>
    <row r="67" spans="1:10" ht="12.75">
      <c r="A67" s="97" t="s">
        <v>808</v>
      </c>
      <c r="B67" s="359" t="s">
        <v>809</v>
      </c>
      <c r="C67" s="360"/>
      <c r="D67" s="360"/>
      <c r="E67" s="361"/>
      <c r="F67" s="5" t="s">
        <v>367</v>
      </c>
      <c r="G67" s="37">
        <f>G69+G72+G79+G83+G87</f>
        <v>1159496.8</v>
      </c>
      <c r="H67" s="37">
        <f>H69+H72+H79+H83+H87</f>
        <v>1159496.8</v>
      </c>
      <c r="I67" s="37">
        <f>I69+I72+I79+I83+I87</f>
        <v>68811</v>
      </c>
      <c r="J67" s="37">
        <f>J69+J72+J79+J83+J87</f>
        <v>68811</v>
      </c>
    </row>
    <row r="68" spans="1:10" ht="25.5">
      <c r="A68" s="8">
        <v>1</v>
      </c>
      <c r="B68" s="8" t="s">
        <v>873</v>
      </c>
      <c r="C68" s="8" t="s">
        <v>874</v>
      </c>
      <c r="D68" s="35" t="s">
        <v>865</v>
      </c>
      <c r="E68" s="10" t="s">
        <v>369</v>
      </c>
      <c r="F68" s="13" t="s">
        <v>367</v>
      </c>
      <c r="G68" s="25">
        <v>0</v>
      </c>
      <c r="H68" s="25">
        <v>0</v>
      </c>
      <c r="I68" s="25">
        <v>32533</v>
      </c>
      <c r="J68" s="25">
        <v>32533</v>
      </c>
    </row>
    <row r="69" spans="1:10" s="33" customFormat="1" ht="12.75">
      <c r="A69" s="59"/>
      <c r="B69" s="59"/>
      <c r="C69" s="113"/>
      <c r="D69" s="115" t="s">
        <v>384</v>
      </c>
      <c r="E69" s="27" t="s">
        <v>369</v>
      </c>
      <c r="F69" s="15" t="s">
        <v>367</v>
      </c>
      <c r="G69" s="27">
        <f>SUM(G68)</f>
        <v>0</v>
      </c>
      <c r="H69" s="27">
        <f>SUM(H68)</f>
        <v>0</v>
      </c>
      <c r="I69" s="27">
        <f>SUM(I68)</f>
        <v>32533</v>
      </c>
      <c r="J69" s="27">
        <f>SUM(J68)</f>
        <v>32533</v>
      </c>
    </row>
    <row r="70" spans="1:10" ht="38.25">
      <c r="A70" s="8">
        <v>2</v>
      </c>
      <c r="B70" s="8" t="s">
        <v>170</v>
      </c>
      <c r="C70" s="8" t="s">
        <v>215</v>
      </c>
      <c r="D70" s="35" t="s">
        <v>838</v>
      </c>
      <c r="E70" s="10" t="s">
        <v>372</v>
      </c>
      <c r="F70" s="13" t="s">
        <v>367</v>
      </c>
      <c r="G70" s="25">
        <v>0</v>
      </c>
      <c r="H70" s="25">
        <v>0</v>
      </c>
      <c r="I70" s="25">
        <v>18438</v>
      </c>
      <c r="J70" s="25">
        <v>18438</v>
      </c>
    </row>
    <row r="71" spans="1:10" ht="38.25">
      <c r="A71" s="8">
        <v>3</v>
      </c>
      <c r="B71" s="8" t="s">
        <v>171</v>
      </c>
      <c r="C71" s="8" t="s">
        <v>675</v>
      </c>
      <c r="D71" s="35" t="s">
        <v>838</v>
      </c>
      <c r="E71" s="10" t="s">
        <v>372</v>
      </c>
      <c r="F71" s="13" t="s">
        <v>367</v>
      </c>
      <c r="G71" s="25">
        <v>0</v>
      </c>
      <c r="H71" s="25">
        <v>0</v>
      </c>
      <c r="I71" s="25">
        <v>17840</v>
      </c>
      <c r="J71" s="25">
        <v>17840</v>
      </c>
    </row>
    <row r="72" spans="1:10" s="33" customFormat="1" ht="12.75">
      <c r="A72" s="59"/>
      <c r="B72" s="59"/>
      <c r="C72" s="113"/>
      <c r="D72" s="115" t="s">
        <v>384</v>
      </c>
      <c r="E72" s="27" t="s">
        <v>372</v>
      </c>
      <c r="F72" s="15" t="s">
        <v>367</v>
      </c>
      <c r="G72" s="27">
        <f>SUM(G70:G71)</f>
        <v>0</v>
      </c>
      <c r="H72" s="27">
        <f>SUM(H70:H71)</f>
        <v>0</v>
      </c>
      <c r="I72" s="27">
        <f>SUM(I70:I71)</f>
        <v>36278</v>
      </c>
      <c r="J72" s="27">
        <f>SUM(J70:J71)</f>
        <v>36278</v>
      </c>
    </row>
    <row r="73" spans="1:10" ht="51">
      <c r="A73" s="8">
        <v>4</v>
      </c>
      <c r="B73" s="8" t="s">
        <v>994</v>
      </c>
      <c r="C73" s="8" t="s">
        <v>210</v>
      </c>
      <c r="D73" s="8" t="s">
        <v>875</v>
      </c>
      <c r="E73" s="10" t="s">
        <v>854</v>
      </c>
      <c r="F73" s="13" t="s">
        <v>367</v>
      </c>
      <c r="G73" s="31">
        <v>96455.05</v>
      </c>
      <c r="H73" s="31">
        <v>96455.05</v>
      </c>
      <c r="I73" s="31">
        <v>0</v>
      </c>
      <c r="J73" s="31">
        <v>0</v>
      </c>
    </row>
    <row r="74" spans="1:10" ht="51">
      <c r="A74" s="8">
        <v>5</v>
      </c>
      <c r="B74" s="8" t="s">
        <v>992</v>
      </c>
      <c r="C74" s="8" t="s">
        <v>210</v>
      </c>
      <c r="D74" s="8" t="s">
        <v>876</v>
      </c>
      <c r="E74" s="10" t="s">
        <v>854</v>
      </c>
      <c r="F74" s="13" t="s">
        <v>367</v>
      </c>
      <c r="G74" s="31">
        <v>152291</v>
      </c>
      <c r="H74" s="31">
        <v>152291</v>
      </c>
      <c r="I74" s="31">
        <v>0</v>
      </c>
      <c r="J74" s="31">
        <v>0</v>
      </c>
    </row>
    <row r="75" spans="1:10" ht="51">
      <c r="A75" s="8">
        <v>6</v>
      </c>
      <c r="B75" s="8" t="s">
        <v>877</v>
      </c>
      <c r="C75" s="8" t="s">
        <v>878</v>
      </c>
      <c r="D75" s="8" t="s">
        <v>879</v>
      </c>
      <c r="E75" s="10" t="s">
        <v>854</v>
      </c>
      <c r="F75" s="13" t="s">
        <v>367</v>
      </c>
      <c r="G75" s="31">
        <v>100214.76</v>
      </c>
      <c r="H75" s="31">
        <v>100214.76</v>
      </c>
      <c r="I75" s="31">
        <v>0</v>
      </c>
      <c r="J75" s="31">
        <v>0</v>
      </c>
    </row>
    <row r="76" spans="1:10" ht="38.25">
      <c r="A76" s="8">
        <v>7</v>
      </c>
      <c r="B76" s="8" t="s">
        <v>420</v>
      </c>
      <c r="C76" s="8" t="s">
        <v>211</v>
      </c>
      <c r="D76" s="8" t="s">
        <v>421</v>
      </c>
      <c r="E76" s="10" t="s">
        <v>854</v>
      </c>
      <c r="F76" s="13" t="s">
        <v>367</v>
      </c>
      <c r="G76" s="31">
        <v>247733</v>
      </c>
      <c r="H76" s="31">
        <v>247733</v>
      </c>
      <c r="I76" s="31">
        <v>0</v>
      </c>
      <c r="J76" s="31">
        <v>0</v>
      </c>
    </row>
    <row r="77" spans="1:10" ht="25.5">
      <c r="A77" s="8">
        <v>8</v>
      </c>
      <c r="B77" s="8" t="s">
        <v>993</v>
      </c>
      <c r="C77" s="8" t="s">
        <v>986</v>
      </c>
      <c r="D77" s="8" t="s">
        <v>422</v>
      </c>
      <c r="E77" s="10" t="s">
        <v>854</v>
      </c>
      <c r="F77" s="13" t="s">
        <v>367</v>
      </c>
      <c r="G77" s="31">
        <v>84345</v>
      </c>
      <c r="H77" s="31">
        <v>84345</v>
      </c>
      <c r="I77" s="31">
        <v>0</v>
      </c>
      <c r="J77" s="31">
        <v>0</v>
      </c>
    </row>
    <row r="78" spans="1:10" ht="38.25">
      <c r="A78" s="8">
        <v>9</v>
      </c>
      <c r="B78" s="36" t="s">
        <v>423</v>
      </c>
      <c r="C78" s="36" t="s">
        <v>424</v>
      </c>
      <c r="D78" s="8" t="s">
        <v>425</v>
      </c>
      <c r="E78" s="10" t="s">
        <v>854</v>
      </c>
      <c r="F78" s="13" t="s">
        <v>367</v>
      </c>
      <c r="G78" s="31">
        <v>125318</v>
      </c>
      <c r="H78" s="31">
        <v>125318</v>
      </c>
      <c r="I78" s="31">
        <v>0</v>
      </c>
      <c r="J78" s="31">
        <v>0</v>
      </c>
    </row>
    <row r="79" spans="1:10" s="33" customFormat="1" ht="12.75">
      <c r="A79" s="59"/>
      <c r="B79" s="59"/>
      <c r="C79" s="113"/>
      <c r="D79" s="60" t="s">
        <v>384</v>
      </c>
      <c r="E79" s="27" t="s">
        <v>854</v>
      </c>
      <c r="F79" s="15" t="s">
        <v>367</v>
      </c>
      <c r="G79" s="116">
        <f>SUM(G73:G78)</f>
        <v>806356.81</v>
      </c>
      <c r="H79" s="116">
        <f>SUM(H73:H78)</f>
        <v>806356.81</v>
      </c>
      <c r="I79" s="116">
        <f>SUM(I73:I78)</f>
        <v>0</v>
      </c>
      <c r="J79" s="116">
        <f>SUM(J73:J78)</f>
        <v>0</v>
      </c>
    </row>
    <row r="80" spans="1:10" ht="38.25">
      <c r="A80" s="8">
        <v>10</v>
      </c>
      <c r="B80" s="36" t="s">
        <v>426</v>
      </c>
      <c r="C80" s="36" t="s">
        <v>427</v>
      </c>
      <c r="D80" s="36" t="s">
        <v>428</v>
      </c>
      <c r="E80" s="10" t="s">
        <v>429</v>
      </c>
      <c r="F80" s="13" t="s">
        <v>367</v>
      </c>
      <c r="G80" s="31">
        <v>124663.35</v>
      </c>
      <c r="H80" s="31">
        <v>124663.35</v>
      </c>
      <c r="I80" s="31">
        <v>0</v>
      </c>
      <c r="J80" s="31">
        <v>0</v>
      </c>
    </row>
    <row r="81" spans="1:10" ht="38.25">
      <c r="A81" s="8">
        <v>11</v>
      </c>
      <c r="B81" s="36" t="s">
        <v>430</v>
      </c>
      <c r="C81" s="36" t="s">
        <v>427</v>
      </c>
      <c r="D81" s="36" t="s">
        <v>431</v>
      </c>
      <c r="E81" s="10" t="s">
        <v>429</v>
      </c>
      <c r="F81" s="13" t="s">
        <v>367</v>
      </c>
      <c r="G81" s="31">
        <v>58401</v>
      </c>
      <c r="H81" s="31">
        <v>58401</v>
      </c>
      <c r="I81" s="31">
        <v>0</v>
      </c>
      <c r="J81" s="31">
        <v>0</v>
      </c>
    </row>
    <row r="82" spans="1:10" ht="51">
      <c r="A82" s="8">
        <v>12</v>
      </c>
      <c r="B82" s="8" t="s">
        <v>994</v>
      </c>
      <c r="C82" s="8" t="s">
        <v>172</v>
      </c>
      <c r="D82" s="8" t="s">
        <v>875</v>
      </c>
      <c r="E82" s="10" t="s">
        <v>429</v>
      </c>
      <c r="F82" s="13" t="s">
        <v>367</v>
      </c>
      <c r="G82" s="31">
        <v>35873.42</v>
      </c>
      <c r="H82" s="31">
        <v>35873.42</v>
      </c>
      <c r="I82" s="31">
        <v>0</v>
      </c>
      <c r="J82" s="31">
        <v>0</v>
      </c>
    </row>
    <row r="83" spans="1:10" s="33" customFormat="1" ht="12.75">
      <c r="A83" s="59"/>
      <c r="B83" s="117"/>
      <c r="C83" s="117"/>
      <c r="D83" s="60" t="s">
        <v>384</v>
      </c>
      <c r="E83" s="27" t="s">
        <v>429</v>
      </c>
      <c r="F83" s="15" t="s">
        <v>367</v>
      </c>
      <c r="G83" s="116">
        <f>SUM(G80:G82)</f>
        <v>218937.77000000002</v>
      </c>
      <c r="H83" s="116">
        <f>SUM(H80:H82)</f>
        <v>218937.77000000002</v>
      </c>
      <c r="I83" s="116">
        <f>SUM(I80:I82)</f>
        <v>0</v>
      </c>
      <c r="J83" s="116">
        <f>SUM(J80:J82)</f>
        <v>0</v>
      </c>
    </row>
    <row r="84" spans="1:10" ht="38.25">
      <c r="A84" s="8">
        <v>13</v>
      </c>
      <c r="B84" s="36" t="s">
        <v>430</v>
      </c>
      <c r="C84" s="36" t="s">
        <v>427</v>
      </c>
      <c r="D84" s="36" t="s">
        <v>431</v>
      </c>
      <c r="E84" s="10" t="s">
        <v>851</v>
      </c>
      <c r="F84" s="13" t="s">
        <v>367</v>
      </c>
      <c r="G84" s="31">
        <v>25029</v>
      </c>
      <c r="H84" s="31">
        <v>25029</v>
      </c>
      <c r="I84" s="31">
        <v>0</v>
      </c>
      <c r="J84" s="31">
        <v>0</v>
      </c>
    </row>
    <row r="85" spans="1:10" ht="38.25">
      <c r="A85" s="8">
        <v>14</v>
      </c>
      <c r="B85" s="36" t="s">
        <v>426</v>
      </c>
      <c r="C85" s="36" t="s">
        <v>427</v>
      </c>
      <c r="D85" s="36" t="s">
        <v>428</v>
      </c>
      <c r="E85" s="10" t="s">
        <v>851</v>
      </c>
      <c r="F85" s="13" t="s">
        <v>367</v>
      </c>
      <c r="G85" s="31">
        <v>93798.89</v>
      </c>
      <c r="H85" s="31">
        <v>93798.89</v>
      </c>
      <c r="I85" s="31">
        <v>0</v>
      </c>
      <c r="J85" s="31">
        <v>0</v>
      </c>
    </row>
    <row r="86" spans="1:10" ht="51">
      <c r="A86" s="8">
        <v>15</v>
      </c>
      <c r="B86" s="8" t="s">
        <v>994</v>
      </c>
      <c r="C86" s="8" t="s">
        <v>210</v>
      </c>
      <c r="D86" s="8" t="s">
        <v>875</v>
      </c>
      <c r="E86" s="10" t="s">
        <v>851</v>
      </c>
      <c r="F86" s="13" t="s">
        <v>367</v>
      </c>
      <c r="G86" s="31">
        <v>15374.33</v>
      </c>
      <c r="H86" s="31">
        <v>15374.33</v>
      </c>
      <c r="I86" s="31">
        <v>0</v>
      </c>
      <c r="J86" s="31">
        <v>0</v>
      </c>
    </row>
    <row r="87" spans="1:10" s="33" customFormat="1" ht="12.75">
      <c r="A87" s="59"/>
      <c r="B87" s="59"/>
      <c r="C87" s="113"/>
      <c r="D87" s="60" t="s">
        <v>384</v>
      </c>
      <c r="E87" s="27" t="s">
        <v>851</v>
      </c>
      <c r="F87" s="15" t="s">
        <v>367</v>
      </c>
      <c r="G87" s="27">
        <f>SUM(G84:G86)</f>
        <v>134202.22</v>
      </c>
      <c r="H87" s="27">
        <f>SUM(H84:H86)</f>
        <v>134202.22</v>
      </c>
      <c r="I87" s="27">
        <f>SUM(I84:I86)</f>
        <v>0</v>
      </c>
      <c r="J87" s="27">
        <f>SUM(J84:J86)</f>
        <v>0</v>
      </c>
    </row>
    <row r="88" spans="1:11" s="38" customFormat="1" ht="12.75">
      <c r="A88" s="4" t="s">
        <v>432</v>
      </c>
      <c r="B88" s="359" t="s">
        <v>433</v>
      </c>
      <c r="C88" s="362"/>
      <c r="D88" s="360"/>
      <c r="E88" s="363"/>
      <c r="F88" s="5" t="s">
        <v>367</v>
      </c>
      <c r="G88" s="34">
        <f>G97+G99</f>
        <v>3069102.01</v>
      </c>
      <c r="H88" s="34">
        <f>H97+H99</f>
        <v>3069102.01</v>
      </c>
      <c r="I88" s="34">
        <f>I97+I99</f>
        <v>0</v>
      </c>
      <c r="J88" s="34">
        <f>J97+J99</f>
        <v>0</v>
      </c>
      <c r="K88" s="106"/>
    </row>
    <row r="89" spans="1:11" s="38" customFormat="1" ht="38.25">
      <c r="A89" s="9">
        <v>1</v>
      </c>
      <c r="B89" s="9" t="s">
        <v>434</v>
      </c>
      <c r="C89" s="9" t="s">
        <v>383</v>
      </c>
      <c r="D89" s="9" t="s">
        <v>435</v>
      </c>
      <c r="E89" s="12" t="s">
        <v>436</v>
      </c>
      <c r="F89" s="13" t="s">
        <v>367</v>
      </c>
      <c r="G89" s="66">
        <v>405311.4</v>
      </c>
      <c r="H89" s="66">
        <v>405311.4</v>
      </c>
      <c r="I89" s="66">
        <v>0</v>
      </c>
      <c r="J89" s="66">
        <v>0</v>
      </c>
      <c r="K89" s="106"/>
    </row>
    <row r="90" spans="1:11" s="38" customFormat="1" ht="38.25">
      <c r="A90" s="9">
        <v>2</v>
      </c>
      <c r="B90" s="9" t="s">
        <v>437</v>
      </c>
      <c r="C90" s="9" t="s">
        <v>383</v>
      </c>
      <c r="D90" s="9" t="s">
        <v>922</v>
      </c>
      <c r="E90" s="12" t="s">
        <v>436</v>
      </c>
      <c r="F90" s="13" t="s">
        <v>367</v>
      </c>
      <c r="G90" s="66">
        <v>260731.3</v>
      </c>
      <c r="H90" s="66">
        <v>260731.3</v>
      </c>
      <c r="I90" s="66">
        <v>0</v>
      </c>
      <c r="J90" s="66">
        <v>0</v>
      </c>
      <c r="K90" s="106"/>
    </row>
    <row r="91" spans="1:11" s="38" customFormat="1" ht="38.25">
      <c r="A91" s="9">
        <v>3</v>
      </c>
      <c r="B91" s="9" t="s">
        <v>923</v>
      </c>
      <c r="C91" s="9" t="s">
        <v>383</v>
      </c>
      <c r="D91" s="9" t="s">
        <v>435</v>
      </c>
      <c r="E91" s="12" t="s">
        <v>436</v>
      </c>
      <c r="F91" s="13" t="s">
        <v>367</v>
      </c>
      <c r="G91" s="66">
        <v>364073.78</v>
      </c>
      <c r="H91" s="66">
        <v>364073.78</v>
      </c>
      <c r="I91" s="66">
        <v>0</v>
      </c>
      <c r="J91" s="66">
        <v>0</v>
      </c>
      <c r="K91" s="106"/>
    </row>
    <row r="92" spans="1:11" s="38" customFormat="1" ht="38.25">
      <c r="A92" s="9">
        <v>4</v>
      </c>
      <c r="B92" s="9" t="s">
        <v>924</v>
      </c>
      <c r="C92" s="9" t="s">
        <v>383</v>
      </c>
      <c r="D92" s="9" t="s">
        <v>922</v>
      </c>
      <c r="E92" s="12" t="s">
        <v>436</v>
      </c>
      <c r="F92" s="13" t="s">
        <v>367</v>
      </c>
      <c r="G92" s="66">
        <v>760240.04</v>
      </c>
      <c r="H92" s="66">
        <v>760240.04</v>
      </c>
      <c r="I92" s="66">
        <v>0</v>
      </c>
      <c r="J92" s="66">
        <v>0</v>
      </c>
      <c r="K92" s="106"/>
    </row>
    <row r="93" spans="1:11" s="38" customFormat="1" ht="38.25">
      <c r="A93" s="9">
        <v>5</v>
      </c>
      <c r="B93" s="9" t="s">
        <v>925</v>
      </c>
      <c r="C93" s="9" t="s">
        <v>383</v>
      </c>
      <c r="D93" s="9" t="s">
        <v>922</v>
      </c>
      <c r="E93" s="12" t="s">
        <v>436</v>
      </c>
      <c r="F93" s="13" t="s">
        <v>367</v>
      </c>
      <c r="G93" s="66">
        <v>307967.6</v>
      </c>
      <c r="H93" s="66">
        <v>307967.6</v>
      </c>
      <c r="I93" s="66">
        <v>0</v>
      </c>
      <c r="J93" s="66">
        <v>0</v>
      </c>
      <c r="K93" s="106"/>
    </row>
    <row r="94" spans="1:11" s="38" customFormat="1" ht="38.25">
      <c r="A94" s="9">
        <v>6</v>
      </c>
      <c r="B94" s="9" t="s">
        <v>926</v>
      </c>
      <c r="C94" s="9" t="s">
        <v>383</v>
      </c>
      <c r="D94" s="9" t="s">
        <v>922</v>
      </c>
      <c r="E94" s="12" t="s">
        <v>436</v>
      </c>
      <c r="F94" s="13" t="s">
        <v>367</v>
      </c>
      <c r="G94" s="66">
        <v>354441.73</v>
      </c>
      <c r="H94" s="66">
        <v>354441.73</v>
      </c>
      <c r="I94" s="66">
        <v>0</v>
      </c>
      <c r="J94" s="66">
        <v>0</v>
      </c>
      <c r="K94" s="106"/>
    </row>
    <row r="95" spans="1:11" s="38" customFormat="1" ht="25.5">
      <c r="A95" s="9">
        <v>7</v>
      </c>
      <c r="B95" s="9" t="s">
        <v>927</v>
      </c>
      <c r="C95" s="9" t="s">
        <v>676</v>
      </c>
      <c r="D95" s="9" t="s">
        <v>922</v>
      </c>
      <c r="E95" s="12" t="s">
        <v>436</v>
      </c>
      <c r="F95" s="13" t="s">
        <v>367</v>
      </c>
      <c r="G95" s="66">
        <v>141641.46</v>
      </c>
      <c r="H95" s="66">
        <v>141641.46</v>
      </c>
      <c r="I95" s="66">
        <v>0</v>
      </c>
      <c r="J95" s="66">
        <v>0</v>
      </c>
      <c r="K95" s="106"/>
    </row>
    <row r="96" spans="1:11" s="38" customFormat="1" ht="25.5">
      <c r="A96" s="9">
        <v>8</v>
      </c>
      <c r="B96" s="9" t="s">
        <v>447</v>
      </c>
      <c r="C96" s="9" t="s">
        <v>986</v>
      </c>
      <c r="D96" s="21" t="s">
        <v>723</v>
      </c>
      <c r="E96" s="10" t="s">
        <v>930</v>
      </c>
      <c r="F96" s="13" t="s">
        <v>367</v>
      </c>
      <c r="G96" s="25">
        <v>246785.8</v>
      </c>
      <c r="H96" s="25">
        <v>246785.8</v>
      </c>
      <c r="I96" s="66">
        <v>0</v>
      </c>
      <c r="J96" s="66">
        <v>0</v>
      </c>
      <c r="K96" s="106"/>
    </row>
    <row r="97" spans="1:11" s="38" customFormat="1" ht="12.75">
      <c r="A97" s="358"/>
      <c r="B97" s="358"/>
      <c r="C97" s="358"/>
      <c r="D97" s="14" t="s">
        <v>384</v>
      </c>
      <c r="E97" s="14" t="s">
        <v>436</v>
      </c>
      <c r="F97" s="15" t="s">
        <v>367</v>
      </c>
      <c r="G97" s="27">
        <f>SUM(G89:G96)</f>
        <v>2841193.11</v>
      </c>
      <c r="H97" s="27">
        <f>SUM(H89:H96)</f>
        <v>2841193.11</v>
      </c>
      <c r="I97" s="27">
        <f>SUM(I89:I96)</f>
        <v>0</v>
      </c>
      <c r="J97" s="27">
        <f>SUM(J89:J96)</f>
        <v>0</v>
      </c>
      <c r="K97" s="106"/>
    </row>
    <row r="98" spans="1:11" s="39" customFormat="1" ht="38.25">
      <c r="A98" s="9">
        <v>9</v>
      </c>
      <c r="B98" s="9" t="s">
        <v>677</v>
      </c>
      <c r="C98" s="9" t="s">
        <v>676</v>
      </c>
      <c r="D98" s="9" t="s">
        <v>928</v>
      </c>
      <c r="E98" s="12" t="s">
        <v>929</v>
      </c>
      <c r="F98" s="13" t="s">
        <v>367</v>
      </c>
      <c r="G98" s="66">
        <v>227908.9</v>
      </c>
      <c r="H98" s="66">
        <v>227908.9</v>
      </c>
      <c r="I98" s="66">
        <v>0</v>
      </c>
      <c r="J98" s="66">
        <v>0</v>
      </c>
      <c r="K98" s="106"/>
    </row>
    <row r="99" spans="1:11" s="40" customFormat="1" ht="12.75">
      <c r="A99" s="351"/>
      <c r="B99" s="352"/>
      <c r="C99" s="352"/>
      <c r="D99" s="14" t="s">
        <v>384</v>
      </c>
      <c r="E99" s="14" t="s">
        <v>929</v>
      </c>
      <c r="F99" s="15" t="s">
        <v>367</v>
      </c>
      <c r="G99" s="27">
        <f>SUM(G98)</f>
        <v>227908.9</v>
      </c>
      <c r="H99" s="27">
        <f>SUM(H98)</f>
        <v>227908.9</v>
      </c>
      <c r="I99" s="27">
        <f>SUM(I98)</f>
        <v>0</v>
      </c>
      <c r="J99" s="27">
        <f>SUM(J98)</f>
        <v>0</v>
      </c>
      <c r="K99" s="106"/>
    </row>
    <row r="100" spans="1:11" s="38" customFormat="1" ht="12.75">
      <c r="A100" s="4" t="s">
        <v>931</v>
      </c>
      <c r="B100" s="359" t="s">
        <v>932</v>
      </c>
      <c r="C100" s="367"/>
      <c r="D100" s="367"/>
      <c r="E100" s="363"/>
      <c r="F100" s="5" t="s">
        <v>367</v>
      </c>
      <c r="G100" s="34">
        <f>G104+G107</f>
        <v>242667.08</v>
      </c>
      <c r="H100" s="34">
        <f>H104+H107</f>
        <v>242667.08</v>
      </c>
      <c r="I100" s="34">
        <f>I104+I107</f>
        <v>416540</v>
      </c>
      <c r="J100" s="34">
        <f>J104+J107</f>
        <v>416540</v>
      </c>
      <c r="K100" s="106"/>
    </row>
    <row r="101" spans="1:11" s="39" customFormat="1" ht="38.25">
      <c r="A101" s="9">
        <v>1</v>
      </c>
      <c r="B101" s="9" t="s">
        <v>932</v>
      </c>
      <c r="C101" s="9" t="s">
        <v>933</v>
      </c>
      <c r="D101" s="9" t="s">
        <v>55</v>
      </c>
      <c r="E101" s="12" t="s">
        <v>56</v>
      </c>
      <c r="F101" s="13" t="s">
        <v>367</v>
      </c>
      <c r="G101" s="66">
        <v>220802.08</v>
      </c>
      <c r="H101" s="66">
        <v>220802.08</v>
      </c>
      <c r="I101" s="66">
        <v>0</v>
      </c>
      <c r="J101" s="66">
        <v>0</v>
      </c>
      <c r="K101" s="106"/>
    </row>
    <row r="102" spans="1:11" s="39" customFormat="1" ht="38.25">
      <c r="A102" s="9">
        <v>2</v>
      </c>
      <c r="B102" s="9" t="s">
        <v>932</v>
      </c>
      <c r="C102" s="9" t="s">
        <v>57</v>
      </c>
      <c r="D102" s="9" t="s">
        <v>58</v>
      </c>
      <c r="E102" s="12" t="s">
        <v>56</v>
      </c>
      <c r="F102" s="13" t="s">
        <v>367</v>
      </c>
      <c r="G102" s="66">
        <v>9945</v>
      </c>
      <c r="H102" s="66">
        <v>9945</v>
      </c>
      <c r="I102" s="66">
        <v>0</v>
      </c>
      <c r="J102" s="66">
        <v>0</v>
      </c>
      <c r="K102" s="106"/>
    </row>
    <row r="103" spans="1:11" s="39" customFormat="1" ht="38.25">
      <c r="A103" s="9">
        <v>3</v>
      </c>
      <c r="B103" s="9" t="s">
        <v>932</v>
      </c>
      <c r="C103" s="9" t="s">
        <v>59</v>
      </c>
      <c r="D103" s="9" t="s">
        <v>60</v>
      </c>
      <c r="E103" s="12" t="s">
        <v>56</v>
      </c>
      <c r="F103" s="13" t="s">
        <v>367</v>
      </c>
      <c r="G103" s="66">
        <v>11920</v>
      </c>
      <c r="H103" s="66">
        <v>11920</v>
      </c>
      <c r="I103" s="66">
        <v>0</v>
      </c>
      <c r="J103" s="66">
        <v>0</v>
      </c>
      <c r="K103" s="106"/>
    </row>
    <row r="104" spans="1:11" s="39" customFormat="1" ht="12.75">
      <c r="A104" s="9"/>
      <c r="B104" s="9"/>
      <c r="C104" s="9"/>
      <c r="D104" s="14" t="s">
        <v>384</v>
      </c>
      <c r="E104" s="14" t="s">
        <v>56</v>
      </c>
      <c r="F104" s="15" t="s">
        <v>367</v>
      </c>
      <c r="G104" s="27">
        <f>SUM(G101:G103)</f>
        <v>242667.08</v>
      </c>
      <c r="H104" s="27">
        <f>SUM(H101:H103)</f>
        <v>242667.08</v>
      </c>
      <c r="I104" s="27">
        <f>SUM(I101:I103)</f>
        <v>0</v>
      </c>
      <c r="J104" s="27">
        <f>SUM(J101:J103)</f>
        <v>0</v>
      </c>
      <c r="K104" s="106"/>
    </row>
    <row r="105" spans="1:11" s="39" customFormat="1" ht="38.25">
      <c r="A105" s="9">
        <v>4</v>
      </c>
      <c r="B105" s="9" t="s">
        <v>932</v>
      </c>
      <c r="C105" s="9" t="s">
        <v>933</v>
      </c>
      <c r="D105" s="9" t="s">
        <v>61</v>
      </c>
      <c r="E105" s="12" t="s">
        <v>62</v>
      </c>
      <c r="F105" s="13" t="s">
        <v>367</v>
      </c>
      <c r="G105" s="66">
        <v>0</v>
      </c>
      <c r="H105" s="66">
        <v>0</v>
      </c>
      <c r="I105" s="66">
        <v>298860</v>
      </c>
      <c r="J105" s="66">
        <v>298860</v>
      </c>
      <c r="K105" s="106"/>
    </row>
    <row r="106" spans="1:11" s="39" customFormat="1" ht="29.25" customHeight="1">
      <c r="A106" s="9">
        <v>5</v>
      </c>
      <c r="B106" s="9" t="s">
        <v>932</v>
      </c>
      <c r="C106" s="9" t="s">
        <v>379</v>
      </c>
      <c r="D106" s="9" t="s">
        <v>63</v>
      </c>
      <c r="E106" s="12" t="s">
        <v>62</v>
      </c>
      <c r="F106" s="13" t="s">
        <v>367</v>
      </c>
      <c r="G106" s="66">
        <v>0</v>
      </c>
      <c r="H106" s="66">
        <v>0</v>
      </c>
      <c r="I106" s="66">
        <v>117680</v>
      </c>
      <c r="J106" s="66">
        <v>117680</v>
      </c>
      <c r="K106" s="106"/>
    </row>
    <row r="107" spans="1:10" s="23" customFormat="1" ht="12.75">
      <c r="A107" s="24"/>
      <c r="B107" s="24"/>
      <c r="C107" s="24"/>
      <c r="D107" s="14" t="s">
        <v>384</v>
      </c>
      <c r="E107" s="14" t="s">
        <v>62</v>
      </c>
      <c r="F107" s="15" t="s">
        <v>367</v>
      </c>
      <c r="G107" s="27">
        <f>SUM(G105:G106)</f>
        <v>0</v>
      </c>
      <c r="H107" s="27">
        <f>SUM(H105:H106)</f>
        <v>0</v>
      </c>
      <c r="I107" s="27">
        <f>SUM(I105:I106)</f>
        <v>416540</v>
      </c>
      <c r="J107" s="27">
        <f>SUM(J105:J106)</f>
        <v>416540</v>
      </c>
    </row>
    <row r="108" spans="1:11" s="40" customFormat="1" ht="12.75">
      <c r="A108" s="4" t="s">
        <v>64</v>
      </c>
      <c r="B108" s="359" t="s">
        <v>65</v>
      </c>
      <c r="C108" s="367"/>
      <c r="D108" s="367"/>
      <c r="E108" s="363"/>
      <c r="F108" s="5" t="s">
        <v>367</v>
      </c>
      <c r="G108" s="34">
        <f>G111+G113</f>
        <v>762022.65</v>
      </c>
      <c r="H108" s="34">
        <f>H111+H113</f>
        <v>762022.65</v>
      </c>
      <c r="I108" s="34">
        <f>I111+I113</f>
        <v>317000</v>
      </c>
      <c r="J108" s="34">
        <f>J111+J113</f>
        <v>317000</v>
      </c>
      <c r="K108" s="106"/>
    </row>
    <row r="109" spans="1:11" s="39" customFormat="1" ht="38.25">
      <c r="A109" s="9">
        <v>1</v>
      </c>
      <c r="B109" s="9" t="s">
        <v>66</v>
      </c>
      <c r="C109" s="9" t="s">
        <v>59</v>
      </c>
      <c r="D109" s="9" t="s">
        <v>67</v>
      </c>
      <c r="E109" s="12" t="s">
        <v>436</v>
      </c>
      <c r="F109" s="13" t="s">
        <v>367</v>
      </c>
      <c r="G109" s="66">
        <v>374787</v>
      </c>
      <c r="H109" s="66">
        <v>374787</v>
      </c>
      <c r="I109" s="66">
        <v>0</v>
      </c>
      <c r="J109" s="66">
        <v>0</v>
      </c>
      <c r="K109" s="106"/>
    </row>
    <row r="110" spans="1:11" s="39" customFormat="1" ht="38.25">
      <c r="A110" s="9">
        <v>2</v>
      </c>
      <c r="B110" s="9" t="s">
        <v>68</v>
      </c>
      <c r="C110" s="9" t="s">
        <v>57</v>
      </c>
      <c r="D110" s="9" t="s">
        <v>69</v>
      </c>
      <c r="E110" s="12" t="s">
        <v>436</v>
      </c>
      <c r="F110" s="13" t="s">
        <v>367</v>
      </c>
      <c r="G110" s="66">
        <v>387235.65</v>
      </c>
      <c r="H110" s="66">
        <v>387235.65</v>
      </c>
      <c r="I110" s="66">
        <v>0</v>
      </c>
      <c r="J110" s="66">
        <v>0</v>
      </c>
      <c r="K110" s="106"/>
    </row>
    <row r="111" spans="1:11" s="40" customFormat="1" ht="12.75">
      <c r="A111" s="351"/>
      <c r="B111" s="352"/>
      <c r="C111" s="352"/>
      <c r="D111" s="14" t="s">
        <v>384</v>
      </c>
      <c r="E111" s="14" t="s">
        <v>436</v>
      </c>
      <c r="F111" s="15" t="s">
        <v>367</v>
      </c>
      <c r="G111" s="27">
        <f>SUM(G109:G110)</f>
        <v>762022.65</v>
      </c>
      <c r="H111" s="27">
        <f>SUM(H109:H110)</f>
        <v>762022.65</v>
      </c>
      <c r="I111" s="27">
        <f>SUM(I109:I110)</f>
        <v>0</v>
      </c>
      <c r="J111" s="27">
        <f>SUM(J109:J110)</f>
        <v>0</v>
      </c>
      <c r="K111" s="106"/>
    </row>
    <row r="112" spans="1:11" s="39" customFormat="1" ht="25.5">
      <c r="A112" s="9">
        <v>3</v>
      </c>
      <c r="B112" s="9" t="s">
        <v>541</v>
      </c>
      <c r="C112" s="9" t="s">
        <v>210</v>
      </c>
      <c r="D112" s="9" t="s">
        <v>542</v>
      </c>
      <c r="E112" s="12" t="s">
        <v>543</v>
      </c>
      <c r="F112" s="13" t="s">
        <v>367</v>
      </c>
      <c r="G112" s="66">
        <v>0</v>
      </c>
      <c r="H112" s="66">
        <v>0</v>
      </c>
      <c r="I112" s="66">
        <v>317000</v>
      </c>
      <c r="J112" s="66">
        <v>317000</v>
      </c>
      <c r="K112" s="106"/>
    </row>
    <row r="113" spans="1:11" s="40" customFormat="1" ht="12.75">
      <c r="A113" s="351"/>
      <c r="B113" s="352"/>
      <c r="C113" s="352"/>
      <c r="D113" s="14" t="s">
        <v>384</v>
      </c>
      <c r="E113" s="14" t="s">
        <v>544</v>
      </c>
      <c r="F113" s="15" t="s">
        <v>367</v>
      </c>
      <c r="G113" s="27">
        <f>SUM(G112)</f>
        <v>0</v>
      </c>
      <c r="H113" s="27">
        <f>SUM(H112)</f>
        <v>0</v>
      </c>
      <c r="I113" s="27">
        <f>SUM(I112)</f>
        <v>317000</v>
      </c>
      <c r="J113" s="27">
        <f>SUM(J112)</f>
        <v>317000</v>
      </c>
      <c r="K113" s="106"/>
    </row>
    <row r="114" spans="1:10" s="49" customFormat="1" ht="12.75">
      <c r="A114" s="97" t="s">
        <v>78</v>
      </c>
      <c r="B114" s="368" t="s">
        <v>810</v>
      </c>
      <c r="C114" s="364"/>
      <c r="D114" s="364"/>
      <c r="E114" s="361"/>
      <c r="F114" s="47" t="s">
        <v>367</v>
      </c>
      <c r="G114" s="37">
        <f>G121</f>
        <v>0</v>
      </c>
      <c r="H114" s="37">
        <f>H121</f>
        <v>0</v>
      </c>
      <c r="I114" s="37">
        <f>I121</f>
        <v>176353</v>
      </c>
      <c r="J114" s="37">
        <f>J121</f>
        <v>176353</v>
      </c>
    </row>
    <row r="115" spans="1:10" s="28" customFormat="1" ht="25.5">
      <c r="A115" s="24" t="s">
        <v>70</v>
      </c>
      <c r="B115" s="8" t="s">
        <v>678</v>
      </c>
      <c r="C115" s="8" t="s">
        <v>724</v>
      </c>
      <c r="D115" s="8" t="s">
        <v>725</v>
      </c>
      <c r="E115" s="10" t="s">
        <v>79</v>
      </c>
      <c r="F115" s="13" t="s">
        <v>367</v>
      </c>
      <c r="G115" s="25">
        <v>0</v>
      </c>
      <c r="H115" s="25">
        <v>0</v>
      </c>
      <c r="I115" s="31">
        <v>80000</v>
      </c>
      <c r="J115" s="31">
        <v>80000</v>
      </c>
    </row>
    <row r="116" spans="1:10" s="28" customFormat="1" ht="38.25">
      <c r="A116" s="24" t="s">
        <v>71</v>
      </c>
      <c r="B116" s="8" t="s">
        <v>678</v>
      </c>
      <c r="C116" s="8" t="s">
        <v>726</v>
      </c>
      <c r="D116" s="8" t="s">
        <v>725</v>
      </c>
      <c r="E116" s="10" t="s">
        <v>79</v>
      </c>
      <c r="F116" s="13" t="s">
        <v>367</v>
      </c>
      <c r="G116" s="25">
        <v>0</v>
      </c>
      <c r="H116" s="25">
        <v>0</v>
      </c>
      <c r="I116" s="31">
        <v>47500</v>
      </c>
      <c r="J116" s="31">
        <v>47500</v>
      </c>
    </row>
    <row r="117" spans="1:10" s="28" customFormat="1" ht="25.5">
      <c r="A117" s="24" t="s">
        <v>72</v>
      </c>
      <c r="B117" s="8" t="s">
        <v>678</v>
      </c>
      <c r="C117" s="8" t="s">
        <v>727</v>
      </c>
      <c r="D117" s="8" t="s">
        <v>725</v>
      </c>
      <c r="E117" s="10" t="s">
        <v>79</v>
      </c>
      <c r="F117" s="13" t="s">
        <v>367</v>
      </c>
      <c r="G117" s="25">
        <v>0</v>
      </c>
      <c r="H117" s="25">
        <v>0</v>
      </c>
      <c r="I117" s="31">
        <v>10000</v>
      </c>
      <c r="J117" s="31">
        <v>10000</v>
      </c>
    </row>
    <row r="118" spans="1:10" s="28" customFormat="1" ht="38.25">
      <c r="A118" s="24" t="s">
        <v>73</v>
      </c>
      <c r="B118" s="8" t="s">
        <v>74</v>
      </c>
      <c r="C118" s="8" t="s">
        <v>724</v>
      </c>
      <c r="D118" s="8" t="s">
        <v>75</v>
      </c>
      <c r="E118" s="10" t="s">
        <v>79</v>
      </c>
      <c r="F118" s="13" t="s">
        <v>367</v>
      </c>
      <c r="G118" s="25">
        <v>0</v>
      </c>
      <c r="H118" s="25">
        <v>0</v>
      </c>
      <c r="I118" s="43">
        <v>17138</v>
      </c>
      <c r="J118" s="43">
        <v>17138</v>
      </c>
    </row>
    <row r="119" spans="1:10" s="28" customFormat="1" ht="38.25">
      <c r="A119" s="24" t="s">
        <v>76</v>
      </c>
      <c r="B119" s="8" t="s">
        <v>74</v>
      </c>
      <c r="C119" s="8" t="s">
        <v>726</v>
      </c>
      <c r="D119" s="8" t="s">
        <v>75</v>
      </c>
      <c r="E119" s="10" t="s">
        <v>79</v>
      </c>
      <c r="F119" s="13" t="s">
        <v>367</v>
      </c>
      <c r="G119" s="25">
        <v>0</v>
      </c>
      <c r="H119" s="25">
        <v>0</v>
      </c>
      <c r="I119" s="43">
        <v>13944</v>
      </c>
      <c r="J119" s="43">
        <v>13944</v>
      </c>
    </row>
    <row r="120" spans="1:10" s="28" customFormat="1" ht="38.25">
      <c r="A120" s="24" t="s">
        <v>77</v>
      </c>
      <c r="B120" s="8" t="s">
        <v>74</v>
      </c>
      <c r="C120" s="8" t="s">
        <v>727</v>
      </c>
      <c r="D120" s="8" t="s">
        <v>75</v>
      </c>
      <c r="E120" s="10" t="s">
        <v>79</v>
      </c>
      <c r="F120" s="13" t="s">
        <v>367</v>
      </c>
      <c r="G120" s="25">
        <v>0</v>
      </c>
      <c r="H120" s="25">
        <v>0</v>
      </c>
      <c r="I120" s="43">
        <v>7771</v>
      </c>
      <c r="J120" s="43">
        <v>7771</v>
      </c>
    </row>
    <row r="121" spans="1:10" s="28" customFormat="1" ht="12.75">
      <c r="A121" s="24"/>
      <c r="B121" s="8"/>
      <c r="C121" s="8"/>
      <c r="D121" s="45" t="s">
        <v>384</v>
      </c>
      <c r="E121" s="27" t="s">
        <v>79</v>
      </c>
      <c r="F121" s="48" t="s">
        <v>367</v>
      </c>
      <c r="G121" s="44">
        <f>SUM(G115:G120)</f>
        <v>0</v>
      </c>
      <c r="H121" s="44">
        <f>SUM(H115:H120)</f>
        <v>0</v>
      </c>
      <c r="I121" s="44">
        <f>SUM(I115:I120)</f>
        <v>176353</v>
      </c>
      <c r="J121" s="44">
        <f>SUM(J115:J120)</f>
        <v>176353</v>
      </c>
    </row>
    <row r="122" spans="1:11" s="40" customFormat="1" ht="12.75">
      <c r="A122" s="41"/>
      <c r="B122" s="8"/>
      <c r="C122" s="8"/>
      <c r="D122" s="369" t="s">
        <v>697</v>
      </c>
      <c r="E122" s="354"/>
      <c r="F122" s="99" t="s">
        <v>367</v>
      </c>
      <c r="G122" s="91">
        <f>G114+G108+G100+G88+G67+G64+G61+G41+G27+G4</f>
        <v>5569171.92</v>
      </c>
      <c r="H122" s="91">
        <f>H114+H108+H100+H88+H67+H64+H61+H41+H27+H4</f>
        <v>5569171.92</v>
      </c>
      <c r="I122" s="91">
        <f>I114+I108+I100+I88+I67+I64+I61+I41+I27+I4</f>
        <v>2250433.36</v>
      </c>
      <c r="J122" s="91">
        <f>J114+J108+J100+J88+J67+J64+J61+J41+J27+J4</f>
        <v>2250433.36</v>
      </c>
      <c r="K122" s="106"/>
    </row>
    <row r="123" spans="1:11" s="2" customFormat="1" ht="12.75">
      <c r="A123" s="365" t="s">
        <v>698</v>
      </c>
      <c r="B123" s="365"/>
      <c r="C123" s="365"/>
      <c r="D123" s="42"/>
      <c r="E123" s="72"/>
      <c r="F123" s="57"/>
      <c r="G123" s="58"/>
      <c r="H123" s="58"/>
      <c r="I123" s="58"/>
      <c r="J123" s="58"/>
      <c r="K123" s="106"/>
    </row>
    <row r="124" spans="1:11" s="53" customFormat="1" ht="60">
      <c r="A124" s="118" t="s">
        <v>365</v>
      </c>
      <c r="B124" s="378" t="s">
        <v>178</v>
      </c>
      <c r="C124" s="378"/>
      <c r="D124" s="378"/>
      <c r="E124" s="352"/>
      <c r="F124" s="119" t="s">
        <v>179</v>
      </c>
      <c r="G124" s="120">
        <f>G126+G131</f>
        <v>0</v>
      </c>
      <c r="H124" s="120">
        <f>H126+H131</f>
        <v>0</v>
      </c>
      <c r="I124" s="120">
        <f>I126+I131</f>
        <v>59999</v>
      </c>
      <c r="J124" s="120">
        <f>J126+J131</f>
        <v>59997.92</v>
      </c>
      <c r="K124" s="108"/>
    </row>
    <row r="125" spans="1:11" s="54" customFormat="1" ht="60">
      <c r="A125" s="121">
        <v>1</v>
      </c>
      <c r="B125" s="8" t="s">
        <v>180</v>
      </c>
      <c r="C125" s="63" t="s">
        <v>703</v>
      </c>
      <c r="D125" s="63" t="s">
        <v>728</v>
      </c>
      <c r="E125" s="122" t="s">
        <v>699</v>
      </c>
      <c r="F125" s="123" t="s">
        <v>179</v>
      </c>
      <c r="G125" s="83">
        <v>0</v>
      </c>
      <c r="H125" s="83">
        <v>0</v>
      </c>
      <c r="I125" s="83">
        <v>30000</v>
      </c>
      <c r="J125" s="83">
        <v>30000</v>
      </c>
      <c r="K125" s="108"/>
    </row>
    <row r="126" spans="1:11" s="54" customFormat="1" ht="60">
      <c r="A126" s="121"/>
      <c r="B126" s="8"/>
      <c r="C126" s="63"/>
      <c r="D126" s="124" t="s">
        <v>181</v>
      </c>
      <c r="E126" s="125" t="s">
        <v>700</v>
      </c>
      <c r="F126" s="126" t="s">
        <v>179</v>
      </c>
      <c r="G126" s="127">
        <f>SUM(G125)</f>
        <v>0</v>
      </c>
      <c r="H126" s="127">
        <f>SUM(H125)</f>
        <v>0</v>
      </c>
      <c r="I126" s="127">
        <f>SUM(I125)</f>
        <v>30000</v>
      </c>
      <c r="J126" s="127">
        <f>SUM(J125)</f>
        <v>30000</v>
      </c>
      <c r="K126" s="108"/>
    </row>
    <row r="127" spans="1:11" s="54" customFormat="1" ht="56.25" customHeight="1">
      <c r="A127" s="121">
        <v>2</v>
      </c>
      <c r="B127" s="8" t="s">
        <v>182</v>
      </c>
      <c r="C127" s="63" t="s">
        <v>729</v>
      </c>
      <c r="D127" s="63" t="s">
        <v>730</v>
      </c>
      <c r="E127" s="122" t="s">
        <v>702</v>
      </c>
      <c r="F127" s="123" t="s">
        <v>179</v>
      </c>
      <c r="G127" s="83">
        <v>0</v>
      </c>
      <c r="H127" s="83">
        <v>0</v>
      </c>
      <c r="I127" s="83">
        <v>10000</v>
      </c>
      <c r="J127" s="83">
        <v>9999.12</v>
      </c>
      <c r="K127" s="108"/>
    </row>
    <row r="128" spans="1:11" s="54" customFormat="1" ht="60.75" customHeight="1">
      <c r="A128" s="121">
        <v>3</v>
      </c>
      <c r="B128" s="8" t="s">
        <v>692</v>
      </c>
      <c r="C128" s="63" t="s">
        <v>216</v>
      </c>
      <c r="D128" s="63" t="s">
        <v>217</v>
      </c>
      <c r="E128" s="122" t="s">
        <v>701</v>
      </c>
      <c r="F128" s="123" t="s">
        <v>179</v>
      </c>
      <c r="G128" s="83">
        <v>0</v>
      </c>
      <c r="H128" s="83">
        <v>0</v>
      </c>
      <c r="I128" s="83">
        <v>6999</v>
      </c>
      <c r="J128" s="83">
        <v>6998.8</v>
      </c>
      <c r="K128" s="108"/>
    </row>
    <row r="129" spans="1:11" s="54" customFormat="1" ht="57" customHeight="1">
      <c r="A129" s="121">
        <v>4</v>
      </c>
      <c r="B129" s="8" t="s">
        <v>694</v>
      </c>
      <c r="C129" s="63" t="s">
        <v>216</v>
      </c>
      <c r="D129" s="63" t="s">
        <v>218</v>
      </c>
      <c r="E129" s="122" t="s">
        <v>701</v>
      </c>
      <c r="F129" s="123" t="s">
        <v>179</v>
      </c>
      <c r="G129" s="83">
        <v>0</v>
      </c>
      <c r="H129" s="83">
        <v>0</v>
      </c>
      <c r="I129" s="83">
        <v>7000</v>
      </c>
      <c r="J129" s="83">
        <v>7000</v>
      </c>
      <c r="K129" s="108"/>
    </row>
    <row r="130" spans="1:11" s="54" customFormat="1" ht="60">
      <c r="A130" s="121">
        <v>5</v>
      </c>
      <c r="B130" s="8" t="s">
        <v>696</v>
      </c>
      <c r="C130" s="63" t="s">
        <v>219</v>
      </c>
      <c r="D130" s="63" t="s">
        <v>218</v>
      </c>
      <c r="E130" s="122" t="s">
        <v>701</v>
      </c>
      <c r="F130" s="123" t="s">
        <v>179</v>
      </c>
      <c r="G130" s="83">
        <v>0</v>
      </c>
      <c r="H130" s="83">
        <v>0</v>
      </c>
      <c r="I130" s="83">
        <v>6000</v>
      </c>
      <c r="J130" s="83">
        <v>6000</v>
      </c>
      <c r="K130" s="108"/>
    </row>
    <row r="131" spans="1:11" s="53" customFormat="1" ht="60">
      <c r="A131" s="352"/>
      <c r="B131" s="352"/>
      <c r="C131" s="352"/>
      <c r="D131" s="124" t="s">
        <v>181</v>
      </c>
      <c r="E131" s="124" t="s">
        <v>220</v>
      </c>
      <c r="F131" s="128" t="s">
        <v>179</v>
      </c>
      <c r="G131" s="129">
        <f>SUM(G127:G130)</f>
        <v>0</v>
      </c>
      <c r="H131" s="129">
        <f>SUM(H127:H130)</f>
        <v>0</v>
      </c>
      <c r="I131" s="129">
        <f>SUM(I127:I130)</f>
        <v>29999</v>
      </c>
      <c r="J131" s="129">
        <f>SUM(J127:J130)</f>
        <v>29997.920000000002</v>
      </c>
      <c r="K131" s="108"/>
    </row>
    <row r="132" spans="1:10" s="76" customFormat="1" ht="60">
      <c r="A132" s="4" t="s">
        <v>376</v>
      </c>
      <c r="B132" s="353" t="s">
        <v>221</v>
      </c>
      <c r="C132" s="354"/>
      <c r="D132" s="370"/>
      <c r="E132" s="370"/>
      <c r="F132" s="5" t="s">
        <v>222</v>
      </c>
      <c r="G132" s="82">
        <f>G134+G140+G144</f>
        <v>67934</v>
      </c>
      <c r="H132" s="82">
        <f>H134+H140+H144</f>
        <v>66971</v>
      </c>
      <c r="I132" s="82">
        <f>I134+I140+I144</f>
        <v>88665</v>
      </c>
      <c r="J132" s="82">
        <f>J134+J140+J144</f>
        <v>88665</v>
      </c>
    </row>
    <row r="133" spans="1:11" s="2" customFormat="1" ht="60">
      <c r="A133" s="9">
        <v>1</v>
      </c>
      <c r="B133" s="9" t="s">
        <v>233</v>
      </c>
      <c r="C133" s="9" t="s">
        <v>679</v>
      </c>
      <c r="D133" s="9" t="s">
        <v>530</v>
      </c>
      <c r="E133" s="12" t="s">
        <v>310</v>
      </c>
      <c r="F133" s="123" t="s">
        <v>222</v>
      </c>
      <c r="G133" s="66">
        <v>0</v>
      </c>
      <c r="H133" s="66">
        <v>0</v>
      </c>
      <c r="I133" s="66">
        <v>22000</v>
      </c>
      <c r="J133" s="66">
        <v>22000</v>
      </c>
      <c r="K133" s="106"/>
    </row>
    <row r="134" spans="1:10" ht="60">
      <c r="A134" s="8"/>
      <c r="B134" s="8"/>
      <c r="C134" s="8"/>
      <c r="D134" s="124" t="s">
        <v>697</v>
      </c>
      <c r="E134" s="124" t="s">
        <v>534</v>
      </c>
      <c r="F134" s="128" t="s">
        <v>222</v>
      </c>
      <c r="G134" s="129">
        <f>SUM(G133)</f>
        <v>0</v>
      </c>
      <c r="H134" s="129">
        <f>SUM(H133)</f>
        <v>0</v>
      </c>
      <c r="I134" s="129">
        <f>SUM(I133)</f>
        <v>22000</v>
      </c>
      <c r="J134" s="129">
        <f>SUM(J133)</f>
        <v>22000</v>
      </c>
    </row>
    <row r="135" spans="1:11" s="2" customFormat="1" ht="60">
      <c r="A135" s="9">
        <v>2</v>
      </c>
      <c r="B135" s="9" t="s">
        <v>223</v>
      </c>
      <c r="C135" s="9" t="s">
        <v>224</v>
      </c>
      <c r="D135" s="9" t="s">
        <v>527</v>
      </c>
      <c r="E135" s="12" t="s">
        <v>524</v>
      </c>
      <c r="F135" s="123" t="s">
        <v>222</v>
      </c>
      <c r="G135" s="66">
        <v>0</v>
      </c>
      <c r="H135" s="66">
        <v>0</v>
      </c>
      <c r="I135" s="66">
        <v>16700</v>
      </c>
      <c r="J135" s="66">
        <v>16700</v>
      </c>
      <c r="K135" s="106"/>
    </row>
    <row r="136" spans="1:11" s="2" customFormat="1" ht="76.5">
      <c r="A136" s="9">
        <v>3</v>
      </c>
      <c r="B136" s="9" t="s">
        <v>680</v>
      </c>
      <c r="C136" s="9" t="s">
        <v>535</v>
      </c>
      <c r="D136" s="9" t="s">
        <v>527</v>
      </c>
      <c r="E136" s="12" t="s">
        <v>524</v>
      </c>
      <c r="F136" s="123" t="s">
        <v>222</v>
      </c>
      <c r="G136" s="66">
        <v>0</v>
      </c>
      <c r="H136" s="66">
        <v>0</v>
      </c>
      <c r="I136" s="66">
        <v>24000</v>
      </c>
      <c r="J136" s="66">
        <v>24000</v>
      </c>
      <c r="K136" s="106"/>
    </row>
    <row r="137" spans="1:11" s="2" customFormat="1" ht="60">
      <c r="A137" s="9">
        <v>4</v>
      </c>
      <c r="B137" s="9" t="s">
        <v>681</v>
      </c>
      <c r="C137" s="9" t="s">
        <v>535</v>
      </c>
      <c r="D137" s="9" t="s">
        <v>528</v>
      </c>
      <c r="E137" s="12" t="s">
        <v>524</v>
      </c>
      <c r="F137" s="123" t="s">
        <v>222</v>
      </c>
      <c r="G137" s="66">
        <v>0</v>
      </c>
      <c r="H137" s="66">
        <v>0</v>
      </c>
      <c r="I137" s="66">
        <v>3990</v>
      </c>
      <c r="J137" s="66">
        <v>3990</v>
      </c>
      <c r="K137" s="106"/>
    </row>
    <row r="138" spans="1:11" s="2" customFormat="1" ht="60">
      <c r="A138" s="9">
        <v>5</v>
      </c>
      <c r="B138" s="9" t="s">
        <v>234</v>
      </c>
      <c r="C138" s="9" t="s">
        <v>535</v>
      </c>
      <c r="D138" s="9" t="s">
        <v>529</v>
      </c>
      <c r="E138" s="12" t="s">
        <v>524</v>
      </c>
      <c r="F138" s="123" t="s">
        <v>222</v>
      </c>
      <c r="G138" s="66">
        <v>0</v>
      </c>
      <c r="H138" s="66">
        <v>0</v>
      </c>
      <c r="I138" s="66">
        <v>11975</v>
      </c>
      <c r="J138" s="66">
        <v>11975</v>
      </c>
      <c r="K138" s="106"/>
    </row>
    <row r="139" spans="1:11" s="2" customFormat="1" ht="60">
      <c r="A139" s="9">
        <v>6</v>
      </c>
      <c r="B139" s="9" t="s">
        <v>235</v>
      </c>
      <c r="C139" s="9" t="s">
        <v>536</v>
      </c>
      <c r="D139" s="9" t="s">
        <v>527</v>
      </c>
      <c r="E139" s="12" t="s">
        <v>524</v>
      </c>
      <c r="F139" s="123" t="s">
        <v>222</v>
      </c>
      <c r="G139" s="66">
        <v>0</v>
      </c>
      <c r="H139" s="66">
        <v>0</v>
      </c>
      <c r="I139" s="66">
        <v>10000</v>
      </c>
      <c r="J139" s="66">
        <v>10000</v>
      </c>
      <c r="K139" s="106"/>
    </row>
    <row r="140" spans="1:10" ht="60">
      <c r="A140" s="8"/>
      <c r="B140" s="8"/>
      <c r="C140" s="8"/>
      <c r="D140" s="124" t="s">
        <v>697</v>
      </c>
      <c r="E140" s="124" t="s">
        <v>324</v>
      </c>
      <c r="F140" s="128" t="s">
        <v>222</v>
      </c>
      <c r="G140" s="129">
        <f>SUM(G135:G139)</f>
        <v>0</v>
      </c>
      <c r="H140" s="129">
        <f>SUM(H135:H139)</f>
        <v>0</v>
      </c>
      <c r="I140" s="129">
        <f>SUM(I135:I139)</f>
        <v>66665</v>
      </c>
      <c r="J140" s="129">
        <f>SUM(J135:J139)</f>
        <v>66665</v>
      </c>
    </row>
    <row r="141" spans="1:11" s="2" customFormat="1" ht="60">
      <c r="A141" s="9">
        <v>7</v>
      </c>
      <c r="B141" s="63" t="s">
        <v>525</v>
      </c>
      <c r="C141" s="9" t="s">
        <v>537</v>
      </c>
      <c r="D141" s="9" t="s">
        <v>531</v>
      </c>
      <c r="E141" s="12" t="s">
        <v>526</v>
      </c>
      <c r="F141" s="123" t="s">
        <v>222</v>
      </c>
      <c r="G141" s="66">
        <v>25974</v>
      </c>
      <c r="H141" s="66">
        <v>25974</v>
      </c>
      <c r="I141" s="66">
        <v>0</v>
      </c>
      <c r="J141" s="66">
        <v>0</v>
      </c>
      <c r="K141" s="106"/>
    </row>
    <row r="142" spans="1:11" s="2" customFormat="1" ht="60">
      <c r="A142" s="9">
        <v>8</v>
      </c>
      <c r="B142" s="63" t="s">
        <v>991</v>
      </c>
      <c r="C142" s="9" t="s">
        <v>682</v>
      </c>
      <c r="D142" s="9" t="s">
        <v>532</v>
      </c>
      <c r="E142" s="12" t="s">
        <v>526</v>
      </c>
      <c r="F142" s="123" t="s">
        <v>222</v>
      </c>
      <c r="G142" s="66">
        <v>21960</v>
      </c>
      <c r="H142" s="66">
        <v>20997</v>
      </c>
      <c r="I142" s="66">
        <v>0</v>
      </c>
      <c r="J142" s="66">
        <v>0</v>
      </c>
      <c r="K142" s="106"/>
    </row>
    <row r="143" spans="1:11" s="2" customFormat="1" ht="60">
      <c r="A143" s="9">
        <v>9</v>
      </c>
      <c r="B143" s="9" t="s">
        <v>683</v>
      </c>
      <c r="C143" s="9" t="s">
        <v>684</v>
      </c>
      <c r="D143" s="9" t="s">
        <v>533</v>
      </c>
      <c r="E143" s="12" t="s">
        <v>526</v>
      </c>
      <c r="F143" s="123" t="s">
        <v>222</v>
      </c>
      <c r="G143" s="66">
        <v>20000</v>
      </c>
      <c r="H143" s="66">
        <v>20000</v>
      </c>
      <c r="I143" s="66">
        <v>0</v>
      </c>
      <c r="J143" s="66">
        <v>0</v>
      </c>
      <c r="K143" s="106"/>
    </row>
    <row r="144" spans="1:10" ht="60">
      <c r="A144" s="8"/>
      <c r="B144" s="8"/>
      <c r="C144" s="8"/>
      <c r="D144" s="124" t="s">
        <v>697</v>
      </c>
      <c r="E144" s="14" t="s">
        <v>526</v>
      </c>
      <c r="F144" s="128" t="s">
        <v>222</v>
      </c>
      <c r="G144" s="129">
        <f>SUM(G141:G143)</f>
        <v>67934</v>
      </c>
      <c r="H144" s="129">
        <f>SUM(H141:H143)</f>
        <v>66971</v>
      </c>
      <c r="I144" s="129">
        <f>SUM(I141:I143)</f>
        <v>0</v>
      </c>
      <c r="J144" s="129">
        <f>SUM(J141:J143)</f>
        <v>0</v>
      </c>
    </row>
    <row r="145" spans="1:10" ht="60">
      <c r="A145" s="4" t="s">
        <v>387</v>
      </c>
      <c r="B145" s="353" t="s">
        <v>236</v>
      </c>
      <c r="C145" s="352"/>
      <c r="D145" s="366"/>
      <c r="E145" s="366"/>
      <c r="F145" s="5" t="s">
        <v>222</v>
      </c>
      <c r="G145" s="82">
        <f>G147</f>
        <v>0</v>
      </c>
      <c r="H145" s="82">
        <f>H147</f>
        <v>0</v>
      </c>
      <c r="I145" s="82">
        <f>I147</f>
        <v>0</v>
      </c>
      <c r="J145" s="82">
        <f>J147</f>
        <v>0</v>
      </c>
    </row>
    <row r="146" spans="1:11" s="54" customFormat="1" ht="60">
      <c r="A146" s="121"/>
      <c r="B146" s="8"/>
      <c r="C146" s="63"/>
      <c r="D146" s="63"/>
      <c r="E146" s="122"/>
      <c r="F146" s="123" t="s">
        <v>222</v>
      </c>
      <c r="G146" s="83">
        <v>0</v>
      </c>
      <c r="H146" s="83">
        <v>0</v>
      </c>
      <c r="I146" s="83">
        <v>0</v>
      </c>
      <c r="J146" s="83">
        <v>0</v>
      </c>
      <c r="K146" s="108"/>
    </row>
    <row r="147" spans="1:10" ht="60">
      <c r="A147" s="8"/>
      <c r="B147" s="8"/>
      <c r="C147" s="8"/>
      <c r="D147" s="124" t="s">
        <v>697</v>
      </c>
      <c r="E147" s="124"/>
      <c r="F147" s="128" t="s">
        <v>222</v>
      </c>
      <c r="G147" s="129">
        <f>SUM(G146)</f>
        <v>0</v>
      </c>
      <c r="H147" s="129">
        <f>SUM(H146)</f>
        <v>0</v>
      </c>
      <c r="I147" s="129">
        <f>SUM(I146)</f>
        <v>0</v>
      </c>
      <c r="J147" s="129">
        <f>SUM(J146)</f>
        <v>0</v>
      </c>
    </row>
    <row r="148" spans="1:10" ht="60">
      <c r="A148" s="4" t="s">
        <v>693</v>
      </c>
      <c r="B148" s="353" t="s">
        <v>237</v>
      </c>
      <c r="C148" s="352"/>
      <c r="D148" s="366"/>
      <c r="E148" s="366"/>
      <c r="F148" s="5" t="s">
        <v>222</v>
      </c>
      <c r="G148" s="82">
        <f>G150+G158+G160+G162+G165+G168+G171</f>
        <v>75263.21</v>
      </c>
      <c r="H148" s="82">
        <f>H150+H158+H160+H162+H165+H168+H171</f>
        <v>74997</v>
      </c>
      <c r="I148" s="82">
        <f>I150+I158+I160+I162+I165+I168+I171</f>
        <v>348335</v>
      </c>
      <c r="J148" s="82">
        <f>J150+J158+J160+J162+J165+J168+J171</f>
        <v>348335</v>
      </c>
    </row>
    <row r="149" spans="1:11" s="2" customFormat="1" ht="63.75">
      <c r="A149" s="9">
        <v>1</v>
      </c>
      <c r="B149" s="63" t="s">
        <v>1</v>
      </c>
      <c r="C149" s="8" t="s">
        <v>685</v>
      </c>
      <c r="D149" s="8" t="s">
        <v>2</v>
      </c>
      <c r="E149" s="12" t="s">
        <v>3</v>
      </c>
      <c r="F149" s="123" t="s">
        <v>222</v>
      </c>
      <c r="G149" s="84">
        <v>8344.8</v>
      </c>
      <c r="H149" s="84">
        <v>8344.8</v>
      </c>
      <c r="I149" s="83">
        <v>0</v>
      </c>
      <c r="J149" s="83">
        <v>0</v>
      </c>
      <c r="K149" s="106"/>
    </row>
    <row r="150" spans="1:10" ht="60">
      <c r="A150" s="8"/>
      <c r="B150" s="8"/>
      <c r="C150" s="8"/>
      <c r="D150" s="124" t="s">
        <v>697</v>
      </c>
      <c r="E150" s="14" t="s">
        <v>3</v>
      </c>
      <c r="F150" s="128" t="s">
        <v>222</v>
      </c>
      <c r="G150" s="129">
        <f>SUM(G149)</f>
        <v>8344.8</v>
      </c>
      <c r="H150" s="129">
        <f>SUM(H149)</f>
        <v>8344.8</v>
      </c>
      <c r="I150" s="129">
        <f>SUM(I149)</f>
        <v>0</v>
      </c>
      <c r="J150" s="129">
        <f>SUM(J149)</f>
        <v>0</v>
      </c>
    </row>
    <row r="151" spans="1:11" s="2" customFormat="1" ht="60">
      <c r="A151" s="9">
        <v>2</v>
      </c>
      <c r="B151" s="63" t="s">
        <v>540</v>
      </c>
      <c r="C151" s="21" t="s">
        <v>4</v>
      </c>
      <c r="D151" s="8" t="s">
        <v>16</v>
      </c>
      <c r="E151" s="12" t="s">
        <v>526</v>
      </c>
      <c r="F151" s="123" t="s">
        <v>222</v>
      </c>
      <c r="G151" s="85">
        <v>11200</v>
      </c>
      <c r="H151" s="85">
        <v>11200</v>
      </c>
      <c r="I151" s="83">
        <v>0</v>
      </c>
      <c r="J151" s="83">
        <v>0</v>
      </c>
      <c r="K151" s="106"/>
    </row>
    <row r="152" spans="1:11" s="2" customFormat="1" ht="60">
      <c r="A152" s="9">
        <v>3</v>
      </c>
      <c r="B152" s="63" t="s">
        <v>545</v>
      </c>
      <c r="C152" s="21" t="s">
        <v>5</v>
      </c>
      <c r="D152" s="8" t="s">
        <v>17</v>
      </c>
      <c r="E152" s="12" t="s">
        <v>526</v>
      </c>
      <c r="F152" s="123" t="s">
        <v>222</v>
      </c>
      <c r="G152" s="85">
        <v>2200</v>
      </c>
      <c r="H152" s="85">
        <v>1933.79</v>
      </c>
      <c r="I152" s="83">
        <v>0</v>
      </c>
      <c r="J152" s="83">
        <v>0</v>
      </c>
      <c r="K152" s="106"/>
    </row>
    <row r="153" spans="1:11" s="2" customFormat="1" ht="60">
      <c r="A153" s="9">
        <v>4</v>
      </c>
      <c r="B153" s="63" t="s">
        <v>686</v>
      </c>
      <c r="C153" s="8" t="s">
        <v>6</v>
      </c>
      <c r="D153" s="8" t="s">
        <v>18</v>
      </c>
      <c r="E153" s="12" t="s">
        <v>526</v>
      </c>
      <c r="F153" s="123" t="s">
        <v>222</v>
      </c>
      <c r="G153" s="84">
        <v>20097</v>
      </c>
      <c r="H153" s="84">
        <v>20097</v>
      </c>
      <c r="I153" s="83">
        <v>0</v>
      </c>
      <c r="J153" s="83">
        <v>0</v>
      </c>
      <c r="K153" s="106"/>
    </row>
    <row r="154" spans="1:11" s="2" customFormat="1" ht="60">
      <c r="A154" s="9">
        <v>5</v>
      </c>
      <c r="B154" s="63" t="s">
        <v>688</v>
      </c>
      <c r="C154" s="8" t="s">
        <v>6</v>
      </c>
      <c r="D154" s="8" t="s">
        <v>19</v>
      </c>
      <c r="E154" s="12" t="s">
        <v>526</v>
      </c>
      <c r="F154" s="123" t="s">
        <v>222</v>
      </c>
      <c r="G154" s="84">
        <v>4884</v>
      </c>
      <c r="H154" s="84">
        <v>4884</v>
      </c>
      <c r="I154" s="83">
        <v>0</v>
      </c>
      <c r="J154" s="83">
        <v>0</v>
      </c>
      <c r="K154" s="106"/>
    </row>
    <row r="155" spans="1:11" s="2" customFormat="1" ht="60">
      <c r="A155" s="9">
        <v>6</v>
      </c>
      <c r="B155" s="63" t="s">
        <v>546</v>
      </c>
      <c r="C155" s="8" t="s">
        <v>175</v>
      </c>
      <c r="D155" s="8" t="s">
        <v>20</v>
      </c>
      <c r="E155" s="12" t="s">
        <v>526</v>
      </c>
      <c r="F155" s="123" t="s">
        <v>222</v>
      </c>
      <c r="G155" s="84">
        <v>21875</v>
      </c>
      <c r="H155" s="84">
        <v>21875</v>
      </c>
      <c r="I155" s="83">
        <v>0</v>
      </c>
      <c r="J155" s="83">
        <v>0</v>
      </c>
      <c r="K155" s="106"/>
    </row>
    <row r="156" spans="1:11" s="2" customFormat="1" ht="63.75">
      <c r="A156" s="9">
        <v>7</v>
      </c>
      <c r="B156" s="63" t="s">
        <v>0</v>
      </c>
      <c r="C156" s="8" t="s">
        <v>8</v>
      </c>
      <c r="D156" s="8" t="s">
        <v>21</v>
      </c>
      <c r="E156" s="12" t="s">
        <v>526</v>
      </c>
      <c r="F156" s="123" t="s">
        <v>222</v>
      </c>
      <c r="G156" s="84">
        <v>1680</v>
      </c>
      <c r="H156" s="84">
        <v>1680</v>
      </c>
      <c r="I156" s="83">
        <v>0</v>
      </c>
      <c r="J156" s="83">
        <v>0</v>
      </c>
      <c r="K156" s="106"/>
    </row>
    <row r="157" spans="1:11" s="2" customFormat="1" ht="60">
      <c r="A157" s="9">
        <v>8</v>
      </c>
      <c r="B157" s="63" t="s">
        <v>687</v>
      </c>
      <c r="C157" s="8" t="s">
        <v>9</v>
      </c>
      <c r="D157" s="8" t="s">
        <v>689</v>
      </c>
      <c r="E157" s="12" t="s">
        <v>526</v>
      </c>
      <c r="F157" s="123" t="s">
        <v>222</v>
      </c>
      <c r="G157" s="84">
        <v>982.41</v>
      </c>
      <c r="H157" s="84">
        <v>982.41</v>
      </c>
      <c r="I157" s="83">
        <v>0</v>
      </c>
      <c r="J157" s="83">
        <v>0</v>
      </c>
      <c r="K157" s="106"/>
    </row>
    <row r="158" spans="1:10" ht="60">
      <c r="A158" s="8"/>
      <c r="B158" s="8"/>
      <c r="C158" s="8"/>
      <c r="D158" s="124" t="s">
        <v>697</v>
      </c>
      <c r="E158" s="14" t="s">
        <v>526</v>
      </c>
      <c r="F158" s="128" t="s">
        <v>222</v>
      </c>
      <c r="G158" s="129">
        <f>SUM(G151:G157)</f>
        <v>62918.41</v>
      </c>
      <c r="H158" s="129">
        <f>SUM(H151:H157)</f>
        <v>62652.200000000004</v>
      </c>
      <c r="I158" s="129">
        <f>SUM(I151:I157)</f>
        <v>0</v>
      </c>
      <c r="J158" s="129">
        <f>SUM(J151:J157)</f>
        <v>0</v>
      </c>
    </row>
    <row r="159" spans="1:11" s="2" customFormat="1" ht="60">
      <c r="A159" s="9">
        <v>9</v>
      </c>
      <c r="B159" s="63" t="s">
        <v>690</v>
      </c>
      <c r="C159" s="8" t="s">
        <v>27</v>
      </c>
      <c r="D159" s="8" t="s">
        <v>28</v>
      </c>
      <c r="E159" s="12" t="s">
        <v>23</v>
      </c>
      <c r="F159" s="123" t="s">
        <v>222</v>
      </c>
      <c r="G159" s="84">
        <v>4000</v>
      </c>
      <c r="H159" s="84">
        <v>4000</v>
      </c>
      <c r="I159" s="83">
        <v>0</v>
      </c>
      <c r="J159" s="83">
        <v>0</v>
      </c>
      <c r="K159" s="106"/>
    </row>
    <row r="160" spans="1:10" ht="60">
      <c r="A160" s="8"/>
      <c r="B160" s="8"/>
      <c r="C160" s="8"/>
      <c r="D160" s="124" t="s">
        <v>697</v>
      </c>
      <c r="E160" s="14" t="s">
        <v>22</v>
      </c>
      <c r="F160" s="128" t="s">
        <v>222</v>
      </c>
      <c r="G160" s="129">
        <f>SUM(G159)</f>
        <v>4000</v>
      </c>
      <c r="H160" s="129">
        <f>SUM(H159)</f>
        <v>4000</v>
      </c>
      <c r="I160" s="129">
        <f>SUM(I159)</f>
        <v>0</v>
      </c>
      <c r="J160" s="129">
        <f>SUM(J159)</f>
        <v>0</v>
      </c>
    </row>
    <row r="161" spans="1:11" s="2" customFormat="1" ht="60">
      <c r="A161" s="9">
        <v>10</v>
      </c>
      <c r="B161" s="63" t="s">
        <v>765</v>
      </c>
      <c r="C161" s="8" t="s">
        <v>691</v>
      </c>
      <c r="D161" s="9" t="s">
        <v>25</v>
      </c>
      <c r="E161" s="12" t="s">
        <v>24</v>
      </c>
      <c r="F161" s="123" t="s">
        <v>222</v>
      </c>
      <c r="G161" s="83">
        <v>0</v>
      </c>
      <c r="H161" s="83">
        <v>0</v>
      </c>
      <c r="I161" s="83">
        <v>28000</v>
      </c>
      <c r="J161" s="83">
        <v>28000</v>
      </c>
      <c r="K161" s="106"/>
    </row>
    <row r="162" spans="1:10" ht="60">
      <c r="A162" s="8"/>
      <c r="B162" s="8"/>
      <c r="C162" s="8"/>
      <c r="D162" s="124" t="s">
        <v>697</v>
      </c>
      <c r="E162" s="14" t="s">
        <v>24</v>
      </c>
      <c r="F162" s="128" t="s">
        <v>222</v>
      </c>
      <c r="G162" s="129">
        <f>SUM(G161)</f>
        <v>0</v>
      </c>
      <c r="H162" s="129">
        <f>SUM(H161)</f>
        <v>0</v>
      </c>
      <c r="I162" s="129">
        <f>SUM(I161)</f>
        <v>28000</v>
      </c>
      <c r="J162" s="129">
        <f>SUM(J161)</f>
        <v>28000</v>
      </c>
    </row>
    <row r="163" spans="1:11" s="2" customFormat="1" ht="60">
      <c r="A163" s="9">
        <v>11</v>
      </c>
      <c r="B163" s="63" t="s">
        <v>763</v>
      </c>
      <c r="C163" s="8" t="s">
        <v>29</v>
      </c>
      <c r="D163" s="8" t="s">
        <v>26</v>
      </c>
      <c r="E163" s="12" t="s">
        <v>538</v>
      </c>
      <c r="F163" s="123" t="s">
        <v>222</v>
      </c>
      <c r="G163" s="83">
        <v>0</v>
      </c>
      <c r="H163" s="83">
        <v>0</v>
      </c>
      <c r="I163" s="83">
        <v>19000</v>
      </c>
      <c r="J163" s="83">
        <v>19000</v>
      </c>
      <c r="K163" s="106"/>
    </row>
    <row r="164" spans="1:11" s="2" customFormat="1" ht="60">
      <c r="A164" s="9">
        <v>12</v>
      </c>
      <c r="B164" s="63" t="s">
        <v>766</v>
      </c>
      <c r="C164" s="8" t="s">
        <v>769</v>
      </c>
      <c r="D164" s="9" t="s">
        <v>25</v>
      </c>
      <c r="E164" s="12" t="s">
        <v>538</v>
      </c>
      <c r="F164" s="123" t="s">
        <v>222</v>
      </c>
      <c r="G164" s="83">
        <v>0</v>
      </c>
      <c r="H164" s="83">
        <v>0</v>
      </c>
      <c r="I164" s="83">
        <v>9000</v>
      </c>
      <c r="J164" s="83">
        <v>9000</v>
      </c>
      <c r="K164" s="106"/>
    </row>
    <row r="165" spans="1:10" ht="60">
      <c r="A165" s="8"/>
      <c r="B165" s="8"/>
      <c r="C165" s="8"/>
      <c r="D165" s="124" t="s">
        <v>697</v>
      </c>
      <c r="E165" s="14" t="s">
        <v>995</v>
      </c>
      <c r="F165" s="128" t="s">
        <v>222</v>
      </c>
      <c r="G165" s="129">
        <f>SUM(G163:G164)</f>
        <v>0</v>
      </c>
      <c r="H165" s="129">
        <f>SUM(H163:H164)</f>
        <v>0</v>
      </c>
      <c r="I165" s="129">
        <f>SUM(I163:I164)</f>
        <v>28000</v>
      </c>
      <c r="J165" s="129">
        <f>SUM(J163:J164)</f>
        <v>28000</v>
      </c>
    </row>
    <row r="166" spans="1:11" s="2" customFormat="1" ht="114.75">
      <c r="A166" s="9">
        <v>13</v>
      </c>
      <c r="B166" s="21" t="s">
        <v>811</v>
      </c>
      <c r="C166" s="21" t="s">
        <v>239</v>
      </c>
      <c r="D166" s="9" t="s">
        <v>25</v>
      </c>
      <c r="E166" s="12" t="s">
        <v>524</v>
      </c>
      <c r="F166" s="123" t="s">
        <v>222</v>
      </c>
      <c r="G166" s="83">
        <v>0</v>
      </c>
      <c r="H166" s="83">
        <v>0</v>
      </c>
      <c r="I166" s="66">
        <v>180000</v>
      </c>
      <c r="J166" s="66">
        <v>180000</v>
      </c>
      <c r="K166" s="106"/>
    </row>
    <row r="167" spans="1:11" s="2" customFormat="1" ht="60">
      <c r="A167" s="9">
        <v>14</v>
      </c>
      <c r="B167" s="63" t="s">
        <v>767</v>
      </c>
      <c r="C167" s="8" t="s">
        <v>770</v>
      </c>
      <c r="D167" s="9" t="s">
        <v>25</v>
      </c>
      <c r="E167" s="12" t="s">
        <v>524</v>
      </c>
      <c r="F167" s="123" t="s">
        <v>222</v>
      </c>
      <c r="G167" s="83">
        <v>0</v>
      </c>
      <c r="H167" s="83">
        <v>0</v>
      </c>
      <c r="I167" s="83">
        <v>6900</v>
      </c>
      <c r="J167" s="83">
        <v>6900</v>
      </c>
      <c r="K167" s="106"/>
    </row>
    <row r="168" spans="1:10" ht="60">
      <c r="A168" s="8"/>
      <c r="B168" s="8"/>
      <c r="C168" s="8"/>
      <c r="D168" s="124" t="s">
        <v>697</v>
      </c>
      <c r="E168" s="14" t="s">
        <v>996</v>
      </c>
      <c r="F168" s="128" t="s">
        <v>222</v>
      </c>
      <c r="G168" s="129">
        <f>SUM(G166:G167)</f>
        <v>0</v>
      </c>
      <c r="H168" s="129">
        <f>SUM(H166:H167)</f>
        <v>0</v>
      </c>
      <c r="I168" s="129">
        <f>SUM(I166:I167)</f>
        <v>186900</v>
      </c>
      <c r="J168" s="129">
        <f>SUM(J166:J167)</f>
        <v>186900</v>
      </c>
    </row>
    <row r="169" spans="1:11" s="2" customFormat="1" ht="60">
      <c r="A169" s="9">
        <v>15</v>
      </c>
      <c r="B169" s="63" t="s">
        <v>764</v>
      </c>
      <c r="C169" s="8" t="s">
        <v>176</v>
      </c>
      <c r="D169" s="9" t="s">
        <v>25</v>
      </c>
      <c r="E169" s="12" t="s">
        <v>539</v>
      </c>
      <c r="F169" s="123" t="s">
        <v>222</v>
      </c>
      <c r="G169" s="83">
        <v>0</v>
      </c>
      <c r="H169" s="83">
        <v>0</v>
      </c>
      <c r="I169" s="83">
        <v>66835</v>
      </c>
      <c r="J169" s="83">
        <v>66835</v>
      </c>
      <c r="K169" s="106"/>
    </row>
    <row r="170" spans="1:11" s="2" customFormat="1" ht="60">
      <c r="A170" s="9">
        <v>16</v>
      </c>
      <c r="B170" s="63" t="s">
        <v>163</v>
      </c>
      <c r="C170" s="8" t="s">
        <v>768</v>
      </c>
      <c r="D170" s="9" t="s">
        <v>25</v>
      </c>
      <c r="E170" s="12" t="s">
        <v>539</v>
      </c>
      <c r="F170" s="123" t="s">
        <v>222</v>
      </c>
      <c r="G170" s="83">
        <v>0</v>
      </c>
      <c r="H170" s="83">
        <v>0</v>
      </c>
      <c r="I170" s="83">
        <v>38600</v>
      </c>
      <c r="J170" s="83">
        <v>38600</v>
      </c>
      <c r="K170" s="106"/>
    </row>
    <row r="171" spans="1:10" ht="60">
      <c r="A171" s="8"/>
      <c r="B171" s="8"/>
      <c r="C171" s="8"/>
      <c r="D171" s="124" t="s">
        <v>697</v>
      </c>
      <c r="E171" s="124"/>
      <c r="F171" s="128" t="s">
        <v>222</v>
      </c>
      <c r="G171" s="129">
        <f>SUM(G169:G170)</f>
        <v>0</v>
      </c>
      <c r="H171" s="129">
        <f>SUM(H169:H170)</f>
        <v>0</v>
      </c>
      <c r="I171" s="129">
        <f>SUM(I169:I170)</f>
        <v>105435</v>
      </c>
      <c r="J171" s="129">
        <f>SUM(J169:J170)</f>
        <v>105435</v>
      </c>
    </row>
    <row r="172" spans="1:11" s="2" customFormat="1" ht="12.75">
      <c r="A172" s="352"/>
      <c r="B172" s="352"/>
      <c r="C172" s="352"/>
      <c r="D172" s="369" t="s">
        <v>697</v>
      </c>
      <c r="E172" s="354"/>
      <c r="F172" s="55"/>
      <c r="G172" s="91">
        <f>G148+G145+G132+G124</f>
        <v>143197.21000000002</v>
      </c>
      <c r="H172" s="91">
        <f>H148+H145+H132+H124</f>
        <v>141968</v>
      </c>
      <c r="I172" s="91">
        <f>I148+I145+I132+I124</f>
        <v>496999</v>
      </c>
      <c r="J172" s="91">
        <f>J148+J145+J132+J124</f>
        <v>496997.92</v>
      </c>
      <c r="K172" s="106"/>
    </row>
    <row r="173" spans="1:11" s="40" customFormat="1" ht="12.75">
      <c r="A173" s="365" t="s">
        <v>771</v>
      </c>
      <c r="B173" s="352"/>
      <c r="C173" s="352"/>
      <c r="D173" s="352"/>
      <c r="E173" s="73"/>
      <c r="F173" s="64"/>
      <c r="G173" s="58"/>
      <c r="H173" s="58"/>
      <c r="I173" s="58"/>
      <c r="J173" s="58"/>
      <c r="K173" s="106"/>
    </row>
    <row r="174" spans="1:11" s="38" customFormat="1" ht="12.75">
      <c r="A174" s="4" t="s">
        <v>365</v>
      </c>
      <c r="B174" s="359" t="s">
        <v>772</v>
      </c>
      <c r="C174" s="362"/>
      <c r="D174" s="362"/>
      <c r="E174" s="363"/>
      <c r="F174" s="5" t="s">
        <v>367</v>
      </c>
      <c r="G174" s="34">
        <f>G191</f>
        <v>2010075.53</v>
      </c>
      <c r="H174" s="34">
        <f>H191</f>
        <v>2010075.53</v>
      </c>
      <c r="I174" s="34">
        <f>I191</f>
        <v>0</v>
      </c>
      <c r="J174" s="34">
        <f>J191</f>
        <v>0</v>
      </c>
      <c r="K174" s="106"/>
    </row>
    <row r="175" spans="1:11" s="40" customFormat="1" ht="38.25">
      <c r="A175" s="9">
        <v>1</v>
      </c>
      <c r="B175" s="9" t="s">
        <v>773</v>
      </c>
      <c r="C175" s="9" t="s">
        <v>774</v>
      </c>
      <c r="D175" s="9" t="s">
        <v>775</v>
      </c>
      <c r="E175" s="12" t="s">
        <v>776</v>
      </c>
      <c r="F175" s="13" t="s">
        <v>367</v>
      </c>
      <c r="G175" s="66">
        <v>239381.65</v>
      </c>
      <c r="H175" s="66">
        <v>239381.65</v>
      </c>
      <c r="I175" s="66">
        <v>0</v>
      </c>
      <c r="J175" s="66">
        <v>0</v>
      </c>
      <c r="K175" s="106"/>
    </row>
    <row r="176" spans="1:11" s="40" customFormat="1" ht="42.75" customHeight="1">
      <c r="A176" s="9">
        <v>2</v>
      </c>
      <c r="B176" s="9" t="s">
        <v>777</v>
      </c>
      <c r="C176" s="8" t="s">
        <v>778</v>
      </c>
      <c r="D176" s="9" t="s">
        <v>775</v>
      </c>
      <c r="E176" s="12" t="s">
        <v>776</v>
      </c>
      <c r="F176" s="13" t="s">
        <v>367</v>
      </c>
      <c r="G176" s="66">
        <v>260549.97</v>
      </c>
      <c r="H176" s="66">
        <v>260549.97</v>
      </c>
      <c r="I176" s="66">
        <v>0</v>
      </c>
      <c r="J176" s="66">
        <v>0</v>
      </c>
      <c r="K176" s="106"/>
    </row>
    <row r="177" spans="1:11" s="40" customFormat="1" ht="42.75" customHeight="1">
      <c r="A177" s="9">
        <v>3</v>
      </c>
      <c r="B177" s="9" t="s">
        <v>779</v>
      </c>
      <c r="C177" s="8" t="s">
        <v>780</v>
      </c>
      <c r="D177" s="9" t="s">
        <v>781</v>
      </c>
      <c r="E177" s="12" t="s">
        <v>776</v>
      </c>
      <c r="F177" s="13" t="s">
        <v>367</v>
      </c>
      <c r="G177" s="66">
        <v>8389.35</v>
      </c>
      <c r="H177" s="66">
        <v>8389.35</v>
      </c>
      <c r="I177" s="66">
        <v>0</v>
      </c>
      <c r="J177" s="66">
        <v>0</v>
      </c>
      <c r="K177" s="106"/>
    </row>
    <row r="178" spans="1:11" s="40" customFormat="1" ht="42.75" customHeight="1">
      <c r="A178" s="9">
        <v>4</v>
      </c>
      <c r="B178" s="9" t="s">
        <v>782</v>
      </c>
      <c r="C178" s="8" t="s">
        <v>780</v>
      </c>
      <c r="D178" s="9" t="s">
        <v>775</v>
      </c>
      <c r="E178" s="12" t="s">
        <v>776</v>
      </c>
      <c r="F178" s="13" t="s">
        <v>367</v>
      </c>
      <c r="G178" s="66">
        <v>38597.81</v>
      </c>
      <c r="H178" s="66">
        <v>38597.81</v>
      </c>
      <c r="I178" s="66">
        <v>0</v>
      </c>
      <c r="J178" s="66">
        <v>0</v>
      </c>
      <c r="K178" s="106"/>
    </row>
    <row r="179" spans="1:11" s="40" customFormat="1" ht="43.5" customHeight="1">
      <c r="A179" s="9">
        <v>5</v>
      </c>
      <c r="B179" s="9" t="s">
        <v>783</v>
      </c>
      <c r="C179" s="8" t="s">
        <v>778</v>
      </c>
      <c r="D179" s="9" t="s">
        <v>775</v>
      </c>
      <c r="E179" s="12" t="s">
        <v>776</v>
      </c>
      <c r="F179" s="13" t="s">
        <v>367</v>
      </c>
      <c r="G179" s="66">
        <v>79319.88</v>
      </c>
      <c r="H179" s="66">
        <v>79319.88</v>
      </c>
      <c r="I179" s="66">
        <v>0</v>
      </c>
      <c r="J179" s="66">
        <v>0</v>
      </c>
      <c r="K179" s="106"/>
    </row>
    <row r="180" spans="1:11" s="40" customFormat="1" ht="42.75" customHeight="1">
      <c r="A180" s="9">
        <v>6</v>
      </c>
      <c r="B180" s="9" t="s">
        <v>784</v>
      </c>
      <c r="C180" s="8" t="s">
        <v>778</v>
      </c>
      <c r="D180" s="9" t="s">
        <v>775</v>
      </c>
      <c r="E180" s="12" t="s">
        <v>776</v>
      </c>
      <c r="F180" s="13" t="s">
        <v>367</v>
      </c>
      <c r="G180" s="66">
        <v>4120</v>
      </c>
      <c r="H180" s="66">
        <v>4120</v>
      </c>
      <c r="I180" s="66">
        <v>0</v>
      </c>
      <c r="J180" s="66">
        <v>0</v>
      </c>
      <c r="K180" s="106"/>
    </row>
    <row r="181" spans="1:11" s="40" customFormat="1" ht="25.5">
      <c r="A181" s="9">
        <v>7</v>
      </c>
      <c r="B181" s="9" t="s">
        <v>784</v>
      </c>
      <c r="C181" s="9" t="s">
        <v>785</v>
      </c>
      <c r="D181" s="9" t="s">
        <v>775</v>
      </c>
      <c r="E181" s="12" t="s">
        <v>776</v>
      </c>
      <c r="F181" s="13" t="s">
        <v>367</v>
      </c>
      <c r="G181" s="66">
        <v>6853</v>
      </c>
      <c r="H181" s="66">
        <v>6853</v>
      </c>
      <c r="I181" s="66">
        <v>0</v>
      </c>
      <c r="J181" s="66">
        <v>0</v>
      </c>
      <c r="K181" s="106"/>
    </row>
    <row r="182" spans="1:11" s="40" customFormat="1" ht="30.75" customHeight="1">
      <c r="A182" s="9">
        <v>8</v>
      </c>
      <c r="B182" s="9" t="s">
        <v>783</v>
      </c>
      <c r="C182" s="9" t="s">
        <v>785</v>
      </c>
      <c r="D182" s="9" t="s">
        <v>775</v>
      </c>
      <c r="E182" s="12" t="s">
        <v>776</v>
      </c>
      <c r="F182" s="13" t="s">
        <v>367</v>
      </c>
      <c r="G182" s="66">
        <v>277868.5</v>
      </c>
      <c r="H182" s="66">
        <v>277868.5</v>
      </c>
      <c r="I182" s="66">
        <v>0</v>
      </c>
      <c r="J182" s="66">
        <v>0</v>
      </c>
      <c r="K182" s="106"/>
    </row>
    <row r="183" spans="1:11" s="40" customFormat="1" ht="30" customHeight="1">
      <c r="A183" s="9">
        <v>9</v>
      </c>
      <c r="B183" s="9" t="s">
        <v>777</v>
      </c>
      <c r="C183" s="9" t="s">
        <v>785</v>
      </c>
      <c r="D183" s="9" t="s">
        <v>775</v>
      </c>
      <c r="E183" s="12" t="s">
        <v>776</v>
      </c>
      <c r="F183" s="13" t="s">
        <v>367</v>
      </c>
      <c r="G183" s="66">
        <v>603956.81</v>
      </c>
      <c r="H183" s="66">
        <v>603956.81</v>
      </c>
      <c r="I183" s="66">
        <v>0</v>
      </c>
      <c r="J183" s="66">
        <v>0</v>
      </c>
      <c r="K183" s="106"/>
    </row>
    <row r="184" spans="1:11" s="40" customFormat="1" ht="25.5">
      <c r="A184" s="9">
        <v>10</v>
      </c>
      <c r="B184" s="9" t="s">
        <v>782</v>
      </c>
      <c r="C184" s="9" t="s">
        <v>785</v>
      </c>
      <c r="D184" s="9" t="s">
        <v>775</v>
      </c>
      <c r="E184" s="12" t="s">
        <v>776</v>
      </c>
      <c r="F184" s="13" t="s">
        <v>367</v>
      </c>
      <c r="G184" s="66">
        <v>34426.45</v>
      </c>
      <c r="H184" s="66">
        <v>34426.45</v>
      </c>
      <c r="I184" s="66">
        <v>0</v>
      </c>
      <c r="J184" s="66">
        <v>0</v>
      </c>
      <c r="K184" s="106"/>
    </row>
    <row r="185" spans="1:11" s="40" customFormat="1" ht="38.25">
      <c r="A185" s="9">
        <v>11</v>
      </c>
      <c r="B185" s="9" t="s">
        <v>782</v>
      </c>
      <c r="C185" s="9" t="s">
        <v>786</v>
      </c>
      <c r="D185" s="9" t="s">
        <v>775</v>
      </c>
      <c r="E185" s="12" t="s">
        <v>776</v>
      </c>
      <c r="F185" s="13" t="s">
        <v>367</v>
      </c>
      <c r="G185" s="66">
        <v>24671.4</v>
      </c>
      <c r="H185" s="66">
        <v>24671.4</v>
      </c>
      <c r="I185" s="66">
        <v>0</v>
      </c>
      <c r="J185" s="66">
        <v>0</v>
      </c>
      <c r="K185" s="106"/>
    </row>
    <row r="186" spans="1:11" s="40" customFormat="1" ht="38.25">
      <c r="A186" s="9">
        <v>12</v>
      </c>
      <c r="B186" s="9" t="s">
        <v>787</v>
      </c>
      <c r="C186" s="9" t="s">
        <v>786</v>
      </c>
      <c r="D186" s="9" t="s">
        <v>775</v>
      </c>
      <c r="E186" s="12" t="s">
        <v>776</v>
      </c>
      <c r="F186" s="13" t="s">
        <v>367</v>
      </c>
      <c r="G186" s="66">
        <v>151046.18</v>
      </c>
      <c r="H186" s="66">
        <v>151046.18</v>
      </c>
      <c r="I186" s="66">
        <v>0</v>
      </c>
      <c r="J186" s="66">
        <v>0</v>
      </c>
      <c r="K186" s="106"/>
    </row>
    <row r="187" spans="1:11" s="40" customFormat="1" ht="38.25">
      <c r="A187" s="9">
        <v>13</v>
      </c>
      <c r="B187" s="9" t="s">
        <v>788</v>
      </c>
      <c r="C187" s="9" t="s">
        <v>272</v>
      </c>
      <c r="D187" s="9" t="s">
        <v>775</v>
      </c>
      <c r="E187" s="12" t="s">
        <v>776</v>
      </c>
      <c r="F187" s="13" t="s">
        <v>367</v>
      </c>
      <c r="G187" s="66">
        <v>86806.03</v>
      </c>
      <c r="H187" s="66">
        <v>86806.03</v>
      </c>
      <c r="I187" s="66">
        <v>0</v>
      </c>
      <c r="J187" s="66">
        <v>0</v>
      </c>
      <c r="K187" s="106"/>
    </row>
    <row r="188" spans="1:11" s="40" customFormat="1" ht="38.25">
      <c r="A188" s="9">
        <v>14</v>
      </c>
      <c r="B188" s="9" t="s">
        <v>783</v>
      </c>
      <c r="C188" s="9" t="s">
        <v>786</v>
      </c>
      <c r="D188" s="9" t="s">
        <v>775</v>
      </c>
      <c r="E188" s="12" t="s">
        <v>776</v>
      </c>
      <c r="F188" s="13" t="s">
        <v>367</v>
      </c>
      <c r="G188" s="66">
        <v>31701.6</v>
      </c>
      <c r="H188" s="66">
        <v>31701.6</v>
      </c>
      <c r="I188" s="66">
        <v>0</v>
      </c>
      <c r="J188" s="66">
        <v>0</v>
      </c>
      <c r="K188" s="106"/>
    </row>
    <row r="189" spans="1:11" s="40" customFormat="1" ht="38.25">
      <c r="A189" s="9">
        <v>15</v>
      </c>
      <c r="B189" s="9" t="s">
        <v>784</v>
      </c>
      <c r="C189" s="9" t="s">
        <v>786</v>
      </c>
      <c r="D189" s="9" t="s">
        <v>775</v>
      </c>
      <c r="E189" s="12" t="s">
        <v>776</v>
      </c>
      <c r="F189" s="13" t="s">
        <v>367</v>
      </c>
      <c r="G189" s="66">
        <v>27906.45</v>
      </c>
      <c r="H189" s="66">
        <v>27906.45</v>
      </c>
      <c r="I189" s="66">
        <v>0</v>
      </c>
      <c r="J189" s="66">
        <v>0</v>
      </c>
      <c r="K189" s="106"/>
    </row>
    <row r="190" spans="1:11" s="40" customFormat="1" ht="38.25">
      <c r="A190" s="9">
        <v>16</v>
      </c>
      <c r="B190" s="9" t="s">
        <v>885</v>
      </c>
      <c r="C190" s="9" t="s">
        <v>786</v>
      </c>
      <c r="D190" s="9" t="s">
        <v>775</v>
      </c>
      <c r="E190" s="12" t="s">
        <v>776</v>
      </c>
      <c r="F190" s="13" t="s">
        <v>367</v>
      </c>
      <c r="G190" s="66">
        <v>134480.45</v>
      </c>
      <c r="H190" s="66">
        <v>134480.45</v>
      </c>
      <c r="I190" s="66">
        <v>0</v>
      </c>
      <c r="J190" s="66">
        <v>0</v>
      </c>
      <c r="K190" s="106"/>
    </row>
    <row r="191" spans="1:11" s="40" customFormat="1" ht="12.75">
      <c r="A191" s="358"/>
      <c r="B191" s="358"/>
      <c r="C191" s="358"/>
      <c r="D191" s="14" t="s">
        <v>384</v>
      </c>
      <c r="E191" s="14" t="s">
        <v>776</v>
      </c>
      <c r="F191" s="15" t="s">
        <v>367</v>
      </c>
      <c r="G191" s="27">
        <f>SUM(G175:G190)</f>
        <v>2010075.53</v>
      </c>
      <c r="H191" s="27">
        <f>SUM(H175:H190)</f>
        <v>2010075.53</v>
      </c>
      <c r="I191" s="27">
        <f>SUM(I175:I190)</f>
        <v>0</v>
      </c>
      <c r="J191" s="27">
        <f>SUM(J175:J190)</f>
        <v>0</v>
      </c>
      <c r="K191" s="106"/>
    </row>
    <row r="192" spans="1:11" s="40" customFormat="1" ht="12.75">
      <c r="A192" s="4" t="s">
        <v>376</v>
      </c>
      <c r="B192" s="359" t="s">
        <v>886</v>
      </c>
      <c r="C192" s="362"/>
      <c r="D192" s="362"/>
      <c r="E192" s="363"/>
      <c r="F192" s="5" t="s">
        <v>367</v>
      </c>
      <c r="G192" s="34">
        <f>G198</f>
        <v>0</v>
      </c>
      <c r="H192" s="34">
        <f>H198</f>
        <v>0</v>
      </c>
      <c r="I192" s="34">
        <f>I198</f>
        <v>125512</v>
      </c>
      <c r="J192" s="34">
        <f>J198</f>
        <v>125512</v>
      </c>
      <c r="K192" s="106"/>
    </row>
    <row r="193" spans="1:11" s="40" customFormat="1" ht="25.5">
      <c r="A193" s="9">
        <v>1</v>
      </c>
      <c r="B193" s="9" t="s">
        <v>1001</v>
      </c>
      <c r="C193" s="9" t="s">
        <v>59</v>
      </c>
      <c r="D193" s="9" t="s">
        <v>887</v>
      </c>
      <c r="E193" s="12" t="s">
        <v>888</v>
      </c>
      <c r="F193" s="13" t="s">
        <v>367</v>
      </c>
      <c r="G193" s="66">
        <v>0</v>
      </c>
      <c r="H193" s="66">
        <v>0</v>
      </c>
      <c r="I193" s="66">
        <v>27456</v>
      </c>
      <c r="J193" s="66">
        <v>27456</v>
      </c>
      <c r="K193" s="106"/>
    </row>
    <row r="194" spans="1:11" s="40" customFormat="1" ht="38.25">
      <c r="A194" s="9">
        <v>2</v>
      </c>
      <c r="B194" s="9" t="s">
        <v>1001</v>
      </c>
      <c r="C194" s="9" t="s">
        <v>1002</v>
      </c>
      <c r="D194" s="9" t="s">
        <v>887</v>
      </c>
      <c r="E194" s="12" t="s">
        <v>888</v>
      </c>
      <c r="F194" s="13" t="s">
        <v>367</v>
      </c>
      <c r="G194" s="66">
        <v>0</v>
      </c>
      <c r="H194" s="66">
        <v>0</v>
      </c>
      <c r="I194" s="66">
        <v>31378</v>
      </c>
      <c r="J194" s="66">
        <v>31378</v>
      </c>
      <c r="K194" s="106"/>
    </row>
    <row r="195" spans="1:11" s="40" customFormat="1" ht="25.5">
      <c r="A195" s="9">
        <v>3</v>
      </c>
      <c r="B195" s="9" t="s">
        <v>1001</v>
      </c>
      <c r="C195" s="9" t="s">
        <v>889</v>
      </c>
      <c r="D195" s="9" t="s">
        <v>887</v>
      </c>
      <c r="E195" s="12" t="s">
        <v>888</v>
      </c>
      <c r="F195" s="13" t="s">
        <v>367</v>
      </c>
      <c r="G195" s="66">
        <v>0</v>
      </c>
      <c r="H195" s="66">
        <v>0</v>
      </c>
      <c r="I195" s="66">
        <v>23533</v>
      </c>
      <c r="J195" s="66">
        <v>23533</v>
      </c>
      <c r="K195" s="106"/>
    </row>
    <row r="196" spans="1:11" s="40" customFormat="1" ht="38.25">
      <c r="A196" s="9">
        <v>4</v>
      </c>
      <c r="B196" s="9" t="s">
        <v>1001</v>
      </c>
      <c r="C196" s="9" t="s">
        <v>890</v>
      </c>
      <c r="D196" s="9" t="s">
        <v>887</v>
      </c>
      <c r="E196" s="12" t="s">
        <v>888</v>
      </c>
      <c r="F196" s="13" t="s">
        <v>367</v>
      </c>
      <c r="G196" s="66">
        <v>0</v>
      </c>
      <c r="H196" s="66">
        <v>0</v>
      </c>
      <c r="I196" s="66">
        <v>19611</v>
      </c>
      <c r="J196" s="66">
        <v>19611</v>
      </c>
      <c r="K196" s="106"/>
    </row>
    <row r="197" spans="1:11" s="40" customFormat="1" ht="38.25">
      <c r="A197" s="9">
        <v>5</v>
      </c>
      <c r="B197" s="9" t="s">
        <v>1001</v>
      </c>
      <c r="C197" s="9" t="s">
        <v>891</v>
      </c>
      <c r="D197" s="9" t="s">
        <v>887</v>
      </c>
      <c r="E197" s="12" t="s">
        <v>888</v>
      </c>
      <c r="F197" s="13" t="s">
        <v>367</v>
      </c>
      <c r="G197" s="66">
        <v>0</v>
      </c>
      <c r="H197" s="66">
        <v>0</v>
      </c>
      <c r="I197" s="66">
        <v>23534</v>
      </c>
      <c r="J197" s="66">
        <v>23534</v>
      </c>
      <c r="K197" s="106"/>
    </row>
    <row r="198" spans="1:11" s="40" customFormat="1" ht="12.75">
      <c r="A198" s="351"/>
      <c r="B198" s="351"/>
      <c r="C198" s="351"/>
      <c r="D198" s="14" t="s">
        <v>384</v>
      </c>
      <c r="E198" s="14" t="s">
        <v>888</v>
      </c>
      <c r="F198" s="15" t="s">
        <v>367</v>
      </c>
      <c r="G198" s="27">
        <f>SUM(G193:G197)</f>
        <v>0</v>
      </c>
      <c r="H198" s="27">
        <f>SUM(H193:H197)</f>
        <v>0</v>
      </c>
      <c r="I198" s="27">
        <f>SUM(I193:I197)</f>
        <v>125512</v>
      </c>
      <c r="J198" s="27">
        <f>SUM(J193:J197)</f>
        <v>125512</v>
      </c>
      <c r="K198" s="106"/>
    </row>
    <row r="199" spans="1:11" s="40" customFormat="1" ht="12.75">
      <c r="A199" s="4" t="s">
        <v>387</v>
      </c>
      <c r="B199" s="359" t="s">
        <v>892</v>
      </c>
      <c r="C199" s="362"/>
      <c r="D199" s="362"/>
      <c r="E199" s="363"/>
      <c r="F199" s="5" t="s">
        <v>367</v>
      </c>
      <c r="G199" s="34">
        <f>G201+G211+G213</f>
        <v>0</v>
      </c>
      <c r="H199" s="34">
        <f>H201+H211+H213</f>
        <v>0</v>
      </c>
      <c r="I199" s="34">
        <f>I201+I211+I213</f>
        <v>137520</v>
      </c>
      <c r="J199" s="34">
        <f>J201+J211+J213</f>
        <v>137520</v>
      </c>
      <c r="K199" s="106"/>
    </row>
    <row r="200" spans="1:11" s="40" customFormat="1" ht="25.5">
      <c r="A200" s="9">
        <v>1</v>
      </c>
      <c r="B200" s="8" t="s">
        <v>893</v>
      </c>
      <c r="C200" s="8" t="s">
        <v>894</v>
      </c>
      <c r="D200" s="9" t="s">
        <v>895</v>
      </c>
      <c r="E200" s="12" t="s">
        <v>896</v>
      </c>
      <c r="F200" s="13" t="s">
        <v>367</v>
      </c>
      <c r="G200" s="66">
        <v>0</v>
      </c>
      <c r="H200" s="66">
        <v>0</v>
      </c>
      <c r="I200" s="66">
        <v>15000</v>
      </c>
      <c r="J200" s="66">
        <v>15000</v>
      </c>
      <c r="K200" s="106"/>
    </row>
    <row r="201" spans="1:11" s="40" customFormat="1" ht="12.75">
      <c r="A201" s="358"/>
      <c r="B201" s="352"/>
      <c r="C201" s="352"/>
      <c r="D201" s="14" t="s">
        <v>384</v>
      </c>
      <c r="E201" s="14" t="s">
        <v>896</v>
      </c>
      <c r="F201" s="15" t="s">
        <v>367</v>
      </c>
      <c r="G201" s="27">
        <f>SUM(G200)</f>
        <v>0</v>
      </c>
      <c r="H201" s="27">
        <f>SUM(H200)</f>
        <v>0</v>
      </c>
      <c r="I201" s="27">
        <f>SUM(I200)</f>
        <v>15000</v>
      </c>
      <c r="J201" s="27">
        <f>SUM(J200)</f>
        <v>15000</v>
      </c>
      <c r="K201" s="106"/>
    </row>
    <row r="202" spans="1:11" s="40" customFormat="1" ht="25.5">
      <c r="A202" s="9">
        <v>2</v>
      </c>
      <c r="B202" s="8" t="s">
        <v>893</v>
      </c>
      <c r="C202" s="8" t="s">
        <v>897</v>
      </c>
      <c r="D202" s="9" t="s">
        <v>895</v>
      </c>
      <c r="E202" s="12" t="s">
        <v>898</v>
      </c>
      <c r="F202" s="13" t="s">
        <v>367</v>
      </c>
      <c r="G202" s="66">
        <v>0</v>
      </c>
      <c r="H202" s="66">
        <v>0</v>
      </c>
      <c r="I202" s="66">
        <v>6000</v>
      </c>
      <c r="J202" s="66">
        <v>6000</v>
      </c>
      <c r="K202" s="106"/>
    </row>
    <row r="203" spans="1:11" s="40" customFormat="1" ht="25.5">
      <c r="A203" s="9">
        <v>3</v>
      </c>
      <c r="B203" s="8" t="s">
        <v>893</v>
      </c>
      <c r="C203" s="8" t="s">
        <v>899</v>
      </c>
      <c r="D203" s="9" t="s">
        <v>895</v>
      </c>
      <c r="E203" s="12" t="s">
        <v>898</v>
      </c>
      <c r="F203" s="13" t="s">
        <v>367</v>
      </c>
      <c r="G203" s="66">
        <v>0</v>
      </c>
      <c r="H203" s="66">
        <v>0</v>
      </c>
      <c r="I203" s="66">
        <v>15000</v>
      </c>
      <c r="J203" s="66">
        <v>15000</v>
      </c>
      <c r="K203" s="106"/>
    </row>
    <row r="204" spans="1:11" s="40" customFormat="1" ht="41.25" customHeight="1">
      <c r="A204" s="9">
        <v>4</v>
      </c>
      <c r="B204" s="8" t="s">
        <v>893</v>
      </c>
      <c r="C204" s="8" t="s">
        <v>900</v>
      </c>
      <c r="D204" s="9" t="s">
        <v>895</v>
      </c>
      <c r="E204" s="12" t="s">
        <v>898</v>
      </c>
      <c r="F204" s="13" t="s">
        <v>367</v>
      </c>
      <c r="G204" s="66">
        <v>0</v>
      </c>
      <c r="H204" s="66">
        <v>0</v>
      </c>
      <c r="I204" s="66">
        <v>12000</v>
      </c>
      <c r="J204" s="66">
        <v>12000</v>
      </c>
      <c r="K204" s="106"/>
    </row>
    <row r="205" spans="1:11" s="40" customFormat="1" ht="51">
      <c r="A205" s="9">
        <v>5</v>
      </c>
      <c r="B205" s="8" t="s">
        <v>893</v>
      </c>
      <c r="C205" s="8" t="s">
        <v>900</v>
      </c>
      <c r="D205" s="9" t="s">
        <v>895</v>
      </c>
      <c r="E205" s="12" t="s">
        <v>898</v>
      </c>
      <c r="F205" s="13" t="s">
        <v>367</v>
      </c>
      <c r="G205" s="66">
        <v>0</v>
      </c>
      <c r="H205" s="66">
        <v>0</v>
      </c>
      <c r="I205" s="66">
        <v>12000</v>
      </c>
      <c r="J205" s="66">
        <v>12000</v>
      </c>
      <c r="K205" s="106"/>
    </row>
    <row r="206" spans="1:11" s="40" customFormat="1" ht="38.25">
      <c r="A206" s="9">
        <v>6</v>
      </c>
      <c r="B206" s="8" t="s">
        <v>893</v>
      </c>
      <c r="C206" s="8" t="s">
        <v>901</v>
      </c>
      <c r="D206" s="9" t="s">
        <v>895</v>
      </c>
      <c r="E206" s="12" t="s">
        <v>898</v>
      </c>
      <c r="F206" s="13" t="s">
        <v>367</v>
      </c>
      <c r="G206" s="66">
        <v>0</v>
      </c>
      <c r="H206" s="66">
        <v>0</v>
      </c>
      <c r="I206" s="66">
        <v>8500</v>
      </c>
      <c r="J206" s="66">
        <v>8500</v>
      </c>
      <c r="K206" s="106"/>
    </row>
    <row r="207" spans="1:11" s="40" customFormat="1" ht="38.25">
      <c r="A207" s="9">
        <v>7</v>
      </c>
      <c r="B207" s="8" t="s">
        <v>893</v>
      </c>
      <c r="C207" s="8" t="s">
        <v>901</v>
      </c>
      <c r="D207" s="9" t="s">
        <v>895</v>
      </c>
      <c r="E207" s="12" t="s">
        <v>898</v>
      </c>
      <c r="F207" s="13" t="s">
        <v>367</v>
      </c>
      <c r="G207" s="66">
        <v>0</v>
      </c>
      <c r="H207" s="66">
        <v>0</v>
      </c>
      <c r="I207" s="66">
        <v>5500</v>
      </c>
      <c r="J207" s="66">
        <v>5500</v>
      </c>
      <c r="K207" s="106"/>
    </row>
    <row r="208" spans="1:11" s="40" customFormat="1" ht="29.25" customHeight="1">
      <c r="A208" s="9">
        <v>8</v>
      </c>
      <c r="B208" s="8" t="s">
        <v>893</v>
      </c>
      <c r="C208" s="8" t="s">
        <v>902</v>
      </c>
      <c r="D208" s="9" t="s">
        <v>895</v>
      </c>
      <c r="E208" s="12" t="s">
        <v>898</v>
      </c>
      <c r="F208" s="13" t="s">
        <v>367</v>
      </c>
      <c r="G208" s="66">
        <v>0</v>
      </c>
      <c r="H208" s="66">
        <v>0</v>
      </c>
      <c r="I208" s="66">
        <v>43520</v>
      </c>
      <c r="J208" s="66">
        <v>43520</v>
      </c>
      <c r="K208" s="106"/>
    </row>
    <row r="209" spans="1:11" s="40" customFormat="1" ht="25.5">
      <c r="A209" s="9">
        <v>9</v>
      </c>
      <c r="B209" s="8" t="s">
        <v>893</v>
      </c>
      <c r="C209" s="8" t="s">
        <v>903</v>
      </c>
      <c r="D209" s="9" t="s">
        <v>895</v>
      </c>
      <c r="E209" s="12" t="s">
        <v>898</v>
      </c>
      <c r="F209" s="13" t="s">
        <v>367</v>
      </c>
      <c r="G209" s="66">
        <v>0</v>
      </c>
      <c r="H209" s="66">
        <v>0</v>
      </c>
      <c r="I209" s="66">
        <v>7000</v>
      </c>
      <c r="J209" s="66">
        <v>7000</v>
      </c>
      <c r="K209" s="106"/>
    </row>
    <row r="210" spans="1:11" s="40" customFormat="1" ht="38.25">
      <c r="A210" s="9">
        <v>10</v>
      </c>
      <c r="B210" s="8" t="s">
        <v>893</v>
      </c>
      <c r="C210" s="8" t="s">
        <v>904</v>
      </c>
      <c r="D210" s="9" t="s">
        <v>895</v>
      </c>
      <c r="E210" s="12" t="s">
        <v>898</v>
      </c>
      <c r="F210" s="13" t="s">
        <v>367</v>
      </c>
      <c r="G210" s="66">
        <v>0</v>
      </c>
      <c r="H210" s="66">
        <v>0</v>
      </c>
      <c r="I210" s="66">
        <v>4000</v>
      </c>
      <c r="J210" s="66">
        <v>4000</v>
      </c>
      <c r="K210" s="106"/>
    </row>
    <row r="211" spans="1:11" s="40" customFormat="1" ht="12.75">
      <c r="A211" s="9"/>
      <c r="B211" s="8"/>
      <c r="C211" s="8"/>
      <c r="D211" s="14" t="s">
        <v>384</v>
      </c>
      <c r="E211" s="14" t="s">
        <v>898</v>
      </c>
      <c r="F211" s="15" t="s">
        <v>367</v>
      </c>
      <c r="G211" s="27">
        <f>SUM(G202:G210)</f>
        <v>0</v>
      </c>
      <c r="H211" s="27">
        <f>SUM(H202:H210)</f>
        <v>0</v>
      </c>
      <c r="I211" s="27">
        <f>SUM(I202:I210)</f>
        <v>113520</v>
      </c>
      <c r="J211" s="27">
        <f>SUM(J202:J210)</f>
        <v>113520</v>
      </c>
      <c r="K211" s="106"/>
    </row>
    <row r="212" spans="1:11" s="40" customFormat="1" ht="25.5">
      <c r="A212" s="9">
        <v>11</v>
      </c>
      <c r="B212" s="8" t="s">
        <v>893</v>
      </c>
      <c r="C212" s="8" t="s">
        <v>1003</v>
      </c>
      <c r="D212" s="9" t="s">
        <v>905</v>
      </c>
      <c r="E212" s="12" t="s">
        <v>381</v>
      </c>
      <c r="F212" s="13" t="s">
        <v>367</v>
      </c>
      <c r="G212" s="66">
        <v>0</v>
      </c>
      <c r="H212" s="66">
        <v>0</v>
      </c>
      <c r="I212" s="66">
        <v>9000</v>
      </c>
      <c r="J212" s="66">
        <v>9000</v>
      </c>
      <c r="K212" s="106"/>
    </row>
    <row r="213" spans="1:11" s="40" customFormat="1" ht="12.75">
      <c r="A213" s="351"/>
      <c r="B213" s="351"/>
      <c r="C213" s="351"/>
      <c r="D213" s="14" t="s">
        <v>384</v>
      </c>
      <c r="E213" s="14" t="s">
        <v>381</v>
      </c>
      <c r="F213" s="15" t="s">
        <v>367</v>
      </c>
      <c r="G213" s="27">
        <f>SUM(G212)</f>
        <v>0</v>
      </c>
      <c r="H213" s="27">
        <f>SUM(H212)</f>
        <v>0</v>
      </c>
      <c r="I213" s="27">
        <f>SUM(I212)</f>
        <v>9000</v>
      </c>
      <c r="J213" s="27">
        <f>SUM(J212)</f>
        <v>9000</v>
      </c>
      <c r="K213" s="106"/>
    </row>
    <row r="214" spans="1:10" s="28" customFormat="1" ht="12.75">
      <c r="A214" s="8"/>
      <c r="B214" s="8"/>
      <c r="C214" s="8"/>
      <c r="D214" s="8"/>
      <c r="E214" s="69" t="s">
        <v>913</v>
      </c>
      <c r="F214" s="130" t="s">
        <v>367</v>
      </c>
      <c r="G214" s="91">
        <f>G199+G192+G174</f>
        <v>2010075.53</v>
      </c>
      <c r="H214" s="91">
        <f>H199+H192+H174</f>
        <v>2010075.53</v>
      </c>
      <c r="I214" s="91">
        <f>I199+I192+I174</f>
        <v>263032</v>
      </c>
      <c r="J214" s="91">
        <f>J199+J192+J174</f>
        <v>263032</v>
      </c>
    </row>
    <row r="215" spans="1:10" s="51" customFormat="1" ht="12.75">
      <c r="A215" s="365" t="s">
        <v>392</v>
      </c>
      <c r="B215" s="365"/>
      <c r="C215" s="365"/>
      <c r="D215" s="365"/>
      <c r="E215" s="365"/>
      <c r="F215" s="365"/>
      <c r="G215" s="365"/>
      <c r="H215" s="365"/>
      <c r="I215" s="365"/>
      <c r="J215" s="365"/>
    </row>
    <row r="216" spans="1:11" s="40" customFormat="1" ht="27" customHeight="1">
      <c r="A216" s="4" t="s">
        <v>365</v>
      </c>
      <c r="B216" s="359" t="s">
        <v>240</v>
      </c>
      <c r="C216" s="362"/>
      <c r="D216" s="362"/>
      <c r="E216" s="363"/>
      <c r="F216" s="5" t="s">
        <v>367</v>
      </c>
      <c r="G216" s="34">
        <f>G218</f>
        <v>21292</v>
      </c>
      <c r="H216" s="34">
        <f>H218</f>
        <v>21292</v>
      </c>
      <c r="I216" s="34">
        <f>I218</f>
        <v>0</v>
      </c>
      <c r="J216" s="34">
        <f>J218</f>
        <v>0</v>
      </c>
      <c r="K216" s="6"/>
    </row>
    <row r="217" spans="1:10" s="51" customFormat="1" ht="38.25">
      <c r="A217" s="8">
        <v>1</v>
      </c>
      <c r="B217" s="8" t="s">
        <v>906</v>
      </c>
      <c r="C217" s="8" t="s">
        <v>907</v>
      </c>
      <c r="D217" s="65" t="s">
        <v>895</v>
      </c>
      <c r="E217" s="10" t="s">
        <v>908</v>
      </c>
      <c r="F217" s="70" t="s">
        <v>367</v>
      </c>
      <c r="G217" s="66">
        <v>21292</v>
      </c>
      <c r="H217" s="66">
        <v>21292</v>
      </c>
      <c r="I217" s="66">
        <v>0</v>
      </c>
      <c r="J217" s="66">
        <v>0</v>
      </c>
    </row>
    <row r="218" spans="1:11" s="40" customFormat="1" ht="12.75">
      <c r="A218" s="351"/>
      <c r="B218" s="351"/>
      <c r="C218" s="351"/>
      <c r="D218" s="14" t="s">
        <v>384</v>
      </c>
      <c r="E218" s="14" t="s">
        <v>914</v>
      </c>
      <c r="F218" s="15" t="s">
        <v>367</v>
      </c>
      <c r="G218" s="27">
        <f>SUM(G217)</f>
        <v>21292</v>
      </c>
      <c r="H218" s="27">
        <f>SUM(H217)</f>
        <v>21292</v>
      </c>
      <c r="I218" s="27">
        <f>SUM(I217)</f>
        <v>0</v>
      </c>
      <c r="J218" s="27">
        <f>SUM(J217)</f>
        <v>0</v>
      </c>
      <c r="K218" s="106"/>
    </row>
    <row r="219" spans="1:11" s="40" customFormat="1" ht="24.75" customHeight="1">
      <c r="A219" s="4" t="s">
        <v>376</v>
      </c>
      <c r="B219" s="359" t="s">
        <v>241</v>
      </c>
      <c r="C219" s="360"/>
      <c r="D219" s="360"/>
      <c r="E219" s="363"/>
      <c r="F219" s="5" t="s">
        <v>367</v>
      </c>
      <c r="G219" s="34">
        <f>G222</f>
        <v>80864</v>
      </c>
      <c r="H219" s="34">
        <f>H222</f>
        <v>80864</v>
      </c>
      <c r="I219" s="34">
        <f>I222</f>
        <v>0</v>
      </c>
      <c r="J219" s="34">
        <f>J222</f>
        <v>0</v>
      </c>
      <c r="K219" s="6"/>
    </row>
    <row r="220" spans="1:10" s="51" customFormat="1" ht="38.25">
      <c r="A220" s="8">
        <v>1</v>
      </c>
      <c r="B220" s="8" t="s">
        <v>909</v>
      </c>
      <c r="C220" s="8" t="s">
        <v>715</v>
      </c>
      <c r="D220" s="65" t="s">
        <v>895</v>
      </c>
      <c r="E220" s="10" t="s">
        <v>908</v>
      </c>
      <c r="F220" s="70" t="s">
        <v>367</v>
      </c>
      <c r="G220" s="66">
        <v>8000</v>
      </c>
      <c r="H220" s="66">
        <v>8000</v>
      </c>
      <c r="I220" s="66">
        <v>0</v>
      </c>
      <c r="J220" s="66">
        <v>0</v>
      </c>
    </row>
    <row r="221" spans="1:10" s="51" customFormat="1" ht="38.25">
      <c r="A221" s="8">
        <v>2</v>
      </c>
      <c r="B221" s="8" t="s">
        <v>910</v>
      </c>
      <c r="C221" s="8" t="s">
        <v>715</v>
      </c>
      <c r="D221" s="65" t="s">
        <v>895</v>
      </c>
      <c r="E221" s="10" t="s">
        <v>908</v>
      </c>
      <c r="F221" s="70" t="s">
        <v>367</v>
      </c>
      <c r="G221" s="66">
        <v>72864</v>
      </c>
      <c r="H221" s="66">
        <v>72864</v>
      </c>
      <c r="I221" s="66">
        <v>0</v>
      </c>
      <c r="J221" s="66">
        <v>0</v>
      </c>
    </row>
    <row r="222" spans="1:11" s="40" customFormat="1" ht="12.75">
      <c r="A222" s="351"/>
      <c r="B222" s="351"/>
      <c r="C222" s="351"/>
      <c r="D222" s="14" t="s">
        <v>384</v>
      </c>
      <c r="E222" s="14" t="s">
        <v>914</v>
      </c>
      <c r="F222" s="15" t="s">
        <v>367</v>
      </c>
      <c r="G222" s="27">
        <f>SUM(G220:G221)</f>
        <v>80864</v>
      </c>
      <c r="H222" s="27">
        <f>SUM(H220:H221)</f>
        <v>80864</v>
      </c>
      <c r="I222" s="27">
        <f>SUM(I220:I221)</f>
        <v>0</v>
      </c>
      <c r="J222" s="27">
        <f>SUM(J220:J221)</f>
        <v>0</v>
      </c>
      <c r="K222" s="106"/>
    </row>
    <row r="223" spans="1:11" s="40" customFormat="1" ht="12.75">
      <c r="A223" s="4" t="s">
        <v>387</v>
      </c>
      <c r="B223" s="359" t="s">
        <v>812</v>
      </c>
      <c r="C223" s="360"/>
      <c r="D223" s="360"/>
      <c r="E223" s="363"/>
      <c r="F223" s="5" t="s">
        <v>367</v>
      </c>
      <c r="G223" s="34">
        <f>G225</f>
        <v>9440</v>
      </c>
      <c r="H223" s="34">
        <f>H225</f>
        <v>9440</v>
      </c>
      <c r="I223" s="34">
        <f>I225</f>
        <v>0</v>
      </c>
      <c r="J223" s="34">
        <f>J225</f>
        <v>0</v>
      </c>
      <c r="K223" s="6"/>
    </row>
    <row r="224" spans="1:10" s="51" customFormat="1" ht="38.25">
      <c r="A224" s="8">
        <v>1</v>
      </c>
      <c r="B224" s="8" t="s">
        <v>911</v>
      </c>
      <c r="C224" s="8" t="s">
        <v>907</v>
      </c>
      <c r="D224" s="65" t="s">
        <v>895</v>
      </c>
      <c r="E224" s="10" t="s">
        <v>908</v>
      </c>
      <c r="F224" s="70" t="s">
        <v>367</v>
      </c>
      <c r="G224" s="66">
        <v>9440</v>
      </c>
      <c r="H224" s="66">
        <v>9440</v>
      </c>
      <c r="I224" s="66">
        <v>0</v>
      </c>
      <c r="J224" s="66">
        <v>0</v>
      </c>
    </row>
    <row r="225" spans="1:11" s="40" customFormat="1" ht="12.75">
      <c r="A225" s="351"/>
      <c r="B225" s="351"/>
      <c r="C225" s="351"/>
      <c r="D225" s="14" t="s">
        <v>384</v>
      </c>
      <c r="E225" s="14" t="s">
        <v>914</v>
      </c>
      <c r="F225" s="15" t="s">
        <v>367</v>
      </c>
      <c r="G225" s="27">
        <f>SUM(G224)</f>
        <v>9440</v>
      </c>
      <c r="H225" s="27">
        <f>SUM(H224)</f>
        <v>9440</v>
      </c>
      <c r="I225" s="27">
        <f>SUM(I224)</f>
        <v>0</v>
      </c>
      <c r="J225" s="27">
        <f>SUM(J224)</f>
        <v>0</v>
      </c>
      <c r="K225" s="106"/>
    </row>
    <row r="226" spans="1:11" s="40" customFormat="1" ht="12.75">
      <c r="A226" s="4" t="s">
        <v>693</v>
      </c>
      <c r="B226" s="359" t="s">
        <v>813</v>
      </c>
      <c r="C226" s="360"/>
      <c r="D226" s="360"/>
      <c r="E226" s="363"/>
      <c r="F226" s="5" t="s">
        <v>367</v>
      </c>
      <c r="G226" s="34">
        <f>G228</f>
        <v>14584</v>
      </c>
      <c r="H226" s="34">
        <f>H228</f>
        <v>14584</v>
      </c>
      <c r="I226" s="34">
        <f>I228</f>
        <v>0</v>
      </c>
      <c r="J226" s="34">
        <f>J228</f>
        <v>0</v>
      </c>
      <c r="K226" s="6"/>
    </row>
    <row r="227" spans="1:10" s="51" customFormat="1" ht="25.5">
      <c r="A227" s="8">
        <v>1</v>
      </c>
      <c r="B227" s="8" t="s">
        <v>912</v>
      </c>
      <c r="C227" s="8" t="s">
        <v>907</v>
      </c>
      <c r="D227" s="65" t="s">
        <v>895</v>
      </c>
      <c r="E227" s="10" t="s">
        <v>908</v>
      </c>
      <c r="F227" s="70" t="s">
        <v>367</v>
      </c>
      <c r="G227" s="66">
        <v>14584</v>
      </c>
      <c r="H227" s="66">
        <v>14584</v>
      </c>
      <c r="I227" s="66">
        <v>0</v>
      </c>
      <c r="J227" s="66">
        <v>0</v>
      </c>
    </row>
    <row r="228" spans="1:10" s="52" customFormat="1" ht="12.75">
      <c r="A228" s="59"/>
      <c r="B228" s="59"/>
      <c r="C228" s="113"/>
      <c r="D228" s="60" t="s">
        <v>384</v>
      </c>
      <c r="E228" s="27" t="s">
        <v>908</v>
      </c>
      <c r="F228" s="131" t="s">
        <v>367</v>
      </c>
      <c r="G228" s="27">
        <f>SUM(G227)</f>
        <v>14584</v>
      </c>
      <c r="H228" s="27">
        <f>SUM(H227)</f>
        <v>14584</v>
      </c>
      <c r="I228" s="27">
        <f>SUM(I227)</f>
        <v>0</v>
      </c>
      <c r="J228" s="27">
        <f>SUM(J227)</f>
        <v>0</v>
      </c>
    </row>
    <row r="229" spans="1:10" s="28" customFormat="1" ht="12.75">
      <c r="A229" s="8"/>
      <c r="B229" s="8"/>
      <c r="C229" s="8"/>
      <c r="D229" s="8"/>
      <c r="E229" s="69" t="s">
        <v>913</v>
      </c>
      <c r="F229" s="130" t="s">
        <v>367</v>
      </c>
      <c r="G229" s="91">
        <f>G226+G223+G219+G216</f>
        <v>126180</v>
      </c>
      <c r="H229" s="91">
        <f>H226+H223+H219+H216</f>
        <v>126180</v>
      </c>
      <c r="I229" s="91">
        <f>I226+I223+I219+I216</f>
        <v>0</v>
      </c>
      <c r="J229" s="91">
        <f>J226+J223+J219+J216</f>
        <v>0</v>
      </c>
    </row>
    <row r="230" spans="1:11" ht="12.75">
      <c r="A230" s="365" t="s">
        <v>187</v>
      </c>
      <c r="B230" s="371"/>
      <c r="C230" s="371"/>
      <c r="D230" s="371"/>
      <c r="E230" s="371"/>
      <c r="F230" s="371"/>
      <c r="G230" s="371"/>
      <c r="H230" s="371"/>
      <c r="I230" s="371"/>
      <c r="J230" s="58"/>
      <c r="K230" s="2"/>
    </row>
    <row r="231" spans="1:11" s="76" customFormat="1" ht="24">
      <c r="A231" s="4" t="s">
        <v>365</v>
      </c>
      <c r="B231" s="353" t="s">
        <v>390</v>
      </c>
      <c r="C231" s="353"/>
      <c r="D231" s="354"/>
      <c r="E231" s="354"/>
      <c r="F231" s="5" t="s">
        <v>394</v>
      </c>
      <c r="G231" s="34">
        <f>G245</f>
        <v>105440</v>
      </c>
      <c r="H231" s="34">
        <f>H245</f>
        <v>103512</v>
      </c>
      <c r="I231" s="34">
        <f>I245</f>
        <v>0</v>
      </c>
      <c r="J231" s="34">
        <f>J245</f>
        <v>0</v>
      </c>
      <c r="K231" s="109"/>
    </row>
    <row r="232" spans="1:11" ht="25.5">
      <c r="A232" s="8">
        <v>1</v>
      </c>
      <c r="B232" s="8" t="s">
        <v>395</v>
      </c>
      <c r="C232" s="8" t="s">
        <v>203</v>
      </c>
      <c r="D232" s="8" t="s">
        <v>309</v>
      </c>
      <c r="E232" s="59" t="s">
        <v>201</v>
      </c>
      <c r="F232" s="71" t="s">
        <v>394</v>
      </c>
      <c r="G232" s="31">
        <v>9640</v>
      </c>
      <c r="H232" s="31">
        <v>7712</v>
      </c>
      <c r="I232" s="31">
        <v>0</v>
      </c>
      <c r="J232" s="31">
        <v>0</v>
      </c>
      <c r="K232" s="2"/>
    </row>
    <row r="233" spans="1:11" ht="38.25">
      <c r="A233" s="8">
        <v>2</v>
      </c>
      <c r="B233" s="8" t="s">
        <v>202</v>
      </c>
      <c r="C233" s="8" t="s">
        <v>204</v>
      </c>
      <c r="D233" s="8" t="s">
        <v>895</v>
      </c>
      <c r="E233" s="59" t="s">
        <v>201</v>
      </c>
      <c r="F233" s="71" t="s">
        <v>394</v>
      </c>
      <c r="G233" s="31">
        <v>7300</v>
      </c>
      <c r="H233" s="31">
        <v>7300</v>
      </c>
      <c r="I233" s="31">
        <v>0</v>
      </c>
      <c r="J233" s="31">
        <v>0</v>
      </c>
      <c r="K233" s="2"/>
    </row>
    <row r="234" spans="1:11" ht="25.5">
      <c r="A234" s="8">
        <v>3</v>
      </c>
      <c r="B234" s="8" t="s">
        <v>205</v>
      </c>
      <c r="C234" s="8" t="s">
        <v>759</v>
      </c>
      <c r="D234" s="8" t="s">
        <v>243</v>
      </c>
      <c r="E234" s="59" t="s">
        <v>201</v>
      </c>
      <c r="F234" s="71" t="s">
        <v>394</v>
      </c>
      <c r="G234" s="31">
        <v>6000</v>
      </c>
      <c r="H234" s="31">
        <v>6000</v>
      </c>
      <c r="I234" s="31">
        <v>0</v>
      </c>
      <c r="J234" s="31">
        <v>0</v>
      </c>
      <c r="K234" s="2"/>
    </row>
    <row r="235" spans="1:11" ht="25.5">
      <c r="A235" s="8">
        <v>4</v>
      </c>
      <c r="B235" s="8" t="s">
        <v>396</v>
      </c>
      <c r="C235" s="8" t="s">
        <v>760</v>
      </c>
      <c r="D235" s="8" t="s">
        <v>244</v>
      </c>
      <c r="E235" s="59" t="s">
        <v>201</v>
      </c>
      <c r="F235" s="71" t="s">
        <v>394</v>
      </c>
      <c r="G235" s="31">
        <v>3000</v>
      </c>
      <c r="H235" s="31">
        <v>3000</v>
      </c>
      <c r="I235" s="31">
        <v>0</v>
      </c>
      <c r="J235" s="31">
        <v>0</v>
      </c>
      <c r="K235" s="2"/>
    </row>
    <row r="236" spans="1:11" ht="51">
      <c r="A236" s="8">
        <v>5</v>
      </c>
      <c r="B236" s="8" t="s">
        <v>397</v>
      </c>
      <c r="C236" s="8" t="s">
        <v>296</v>
      </c>
      <c r="D236" s="8" t="s">
        <v>245</v>
      </c>
      <c r="E236" s="59" t="s">
        <v>201</v>
      </c>
      <c r="F236" s="71" t="s">
        <v>394</v>
      </c>
      <c r="G236" s="31">
        <v>9300</v>
      </c>
      <c r="H236" s="31">
        <v>9300</v>
      </c>
      <c r="I236" s="31">
        <v>0</v>
      </c>
      <c r="J236" s="31">
        <v>0</v>
      </c>
      <c r="K236" s="2"/>
    </row>
    <row r="237" spans="1:11" ht="25.5">
      <c r="A237" s="8">
        <v>6</v>
      </c>
      <c r="B237" s="8" t="s">
        <v>188</v>
      </c>
      <c r="C237" s="8" t="s">
        <v>297</v>
      </c>
      <c r="D237" s="137">
        <v>39234</v>
      </c>
      <c r="E237" s="59" t="s">
        <v>201</v>
      </c>
      <c r="F237" s="71" t="s">
        <v>394</v>
      </c>
      <c r="G237" s="31">
        <v>5000</v>
      </c>
      <c r="H237" s="31">
        <v>5000</v>
      </c>
      <c r="I237" s="31">
        <v>0</v>
      </c>
      <c r="J237" s="31">
        <v>0</v>
      </c>
      <c r="K237" s="2"/>
    </row>
    <row r="238" spans="1:11" ht="25.5">
      <c r="A238" s="8">
        <v>7</v>
      </c>
      <c r="B238" s="8" t="s">
        <v>398</v>
      </c>
      <c r="C238" s="8" t="s">
        <v>298</v>
      </c>
      <c r="D238" s="8" t="s">
        <v>246</v>
      </c>
      <c r="E238" s="59" t="s">
        <v>201</v>
      </c>
      <c r="F238" s="71" t="s">
        <v>394</v>
      </c>
      <c r="G238" s="31">
        <v>5000</v>
      </c>
      <c r="H238" s="31">
        <v>5000</v>
      </c>
      <c r="I238" s="31">
        <v>0</v>
      </c>
      <c r="J238" s="31">
        <v>0</v>
      </c>
      <c r="K238" s="2"/>
    </row>
    <row r="239" spans="1:11" ht="25.5">
      <c r="A239" s="8">
        <v>8</v>
      </c>
      <c r="B239" s="8" t="s">
        <v>916</v>
      </c>
      <c r="C239" s="8" t="s">
        <v>299</v>
      </c>
      <c r="D239" s="8" t="s">
        <v>247</v>
      </c>
      <c r="E239" s="59" t="s">
        <v>201</v>
      </c>
      <c r="F239" s="71" t="s">
        <v>394</v>
      </c>
      <c r="G239" s="31">
        <v>8000</v>
      </c>
      <c r="H239" s="31">
        <v>8000</v>
      </c>
      <c r="I239" s="31">
        <v>0</v>
      </c>
      <c r="J239" s="31">
        <v>0</v>
      </c>
      <c r="K239" s="2"/>
    </row>
    <row r="240" spans="1:11" ht="25.5">
      <c r="A240" s="8">
        <v>9</v>
      </c>
      <c r="B240" s="8" t="s">
        <v>399</v>
      </c>
      <c r="C240" s="8" t="s">
        <v>300</v>
      </c>
      <c r="D240" s="8" t="s">
        <v>248</v>
      </c>
      <c r="E240" s="59" t="s">
        <v>201</v>
      </c>
      <c r="F240" s="71" t="s">
        <v>394</v>
      </c>
      <c r="G240" s="31">
        <v>6000</v>
      </c>
      <c r="H240" s="31">
        <v>6000</v>
      </c>
      <c r="I240" s="31">
        <v>0</v>
      </c>
      <c r="J240" s="31">
        <v>0</v>
      </c>
      <c r="K240" s="2"/>
    </row>
    <row r="241" spans="1:11" ht="25.5">
      <c r="A241" s="8">
        <v>10</v>
      </c>
      <c r="B241" s="8" t="s">
        <v>301</v>
      </c>
      <c r="C241" s="8" t="s">
        <v>302</v>
      </c>
      <c r="D241" s="137">
        <v>39342</v>
      </c>
      <c r="E241" s="59" t="s">
        <v>201</v>
      </c>
      <c r="F241" s="71" t="s">
        <v>394</v>
      </c>
      <c r="G241" s="31">
        <v>24000</v>
      </c>
      <c r="H241" s="31">
        <v>24000</v>
      </c>
      <c r="I241" s="31">
        <v>0</v>
      </c>
      <c r="J241" s="31">
        <v>0</v>
      </c>
      <c r="K241" s="2"/>
    </row>
    <row r="242" spans="1:11" ht="25.5">
      <c r="A242" s="8">
        <v>11</v>
      </c>
      <c r="B242" s="8" t="s">
        <v>400</v>
      </c>
      <c r="C242" s="8" t="s">
        <v>303</v>
      </c>
      <c r="D242" s="8" t="s">
        <v>249</v>
      </c>
      <c r="E242" s="59" t="s">
        <v>201</v>
      </c>
      <c r="F242" s="71" t="s">
        <v>394</v>
      </c>
      <c r="G242" s="31">
        <v>7500</v>
      </c>
      <c r="H242" s="31">
        <v>7500</v>
      </c>
      <c r="I242" s="31">
        <v>0</v>
      </c>
      <c r="J242" s="31">
        <v>0</v>
      </c>
      <c r="K242" s="2"/>
    </row>
    <row r="243" spans="1:11" ht="25.5">
      <c r="A243" s="8">
        <v>12</v>
      </c>
      <c r="B243" s="8" t="s">
        <v>304</v>
      </c>
      <c r="C243" s="8" t="s">
        <v>242</v>
      </c>
      <c r="D243" s="8" t="s">
        <v>250</v>
      </c>
      <c r="E243" s="59" t="s">
        <v>201</v>
      </c>
      <c r="F243" s="71" t="s">
        <v>394</v>
      </c>
      <c r="G243" s="31">
        <v>9000</v>
      </c>
      <c r="H243" s="31">
        <v>9000</v>
      </c>
      <c r="I243" s="31">
        <v>0</v>
      </c>
      <c r="J243" s="31">
        <v>0</v>
      </c>
      <c r="K243" s="2"/>
    </row>
    <row r="244" spans="1:11" ht="25.5">
      <c r="A244" s="8">
        <v>13</v>
      </c>
      <c r="B244" s="8" t="s">
        <v>189</v>
      </c>
      <c r="C244" s="8" t="s">
        <v>305</v>
      </c>
      <c r="D244" s="137">
        <v>39382</v>
      </c>
      <c r="E244" s="59" t="s">
        <v>201</v>
      </c>
      <c r="F244" s="71" t="s">
        <v>394</v>
      </c>
      <c r="G244" s="31">
        <v>5700</v>
      </c>
      <c r="H244" s="31">
        <v>5700</v>
      </c>
      <c r="I244" s="31">
        <v>0</v>
      </c>
      <c r="J244" s="31">
        <v>0</v>
      </c>
      <c r="K244" s="2"/>
    </row>
    <row r="245" spans="1:11" s="32" customFormat="1" ht="24">
      <c r="A245" s="355"/>
      <c r="B245" s="355"/>
      <c r="C245" s="355"/>
      <c r="D245" s="14" t="s">
        <v>384</v>
      </c>
      <c r="E245" s="27" t="s">
        <v>201</v>
      </c>
      <c r="F245" s="15" t="s">
        <v>394</v>
      </c>
      <c r="G245" s="27">
        <f>SUM(G232:G244)</f>
        <v>105440</v>
      </c>
      <c r="H245" s="27">
        <f>SUM(H232:H244)</f>
        <v>103512</v>
      </c>
      <c r="I245" s="27">
        <f>SUM(I232:I244)</f>
        <v>0</v>
      </c>
      <c r="J245" s="27">
        <f>SUM(J232:J244)</f>
        <v>0</v>
      </c>
      <c r="K245" s="110"/>
    </row>
    <row r="246" spans="1:11" s="76" customFormat="1" ht="24">
      <c r="A246" s="4" t="s">
        <v>376</v>
      </c>
      <c r="B246" s="353" t="s">
        <v>389</v>
      </c>
      <c r="C246" s="353"/>
      <c r="D246" s="354"/>
      <c r="E246" s="354"/>
      <c r="F246" s="5" t="s">
        <v>394</v>
      </c>
      <c r="G246" s="34">
        <f>G250</f>
        <v>158801</v>
      </c>
      <c r="H246" s="34">
        <f>H250</f>
        <v>158801</v>
      </c>
      <c r="I246" s="34">
        <f>I250</f>
        <v>0</v>
      </c>
      <c r="J246" s="34">
        <f>J250</f>
        <v>0</v>
      </c>
      <c r="K246" s="109"/>
    </row>
    <row r="247" spans="1:11" ht="25.5">
      <c r="A247" s="8">
        <v>1</v>
      </c>
      <c r="B247" s="8" t="s">
        <v>401</v>
      </c>
      <c r="C247" s="8" t="s">
        <v>403</v>
      </c>
      <c r="D247" s="8" t="s">
        <v>251</v>
      </c>
      <c r="E247" s="59" t="s">
        <v>201</v>
      </c>
      <c r="F247" s="71" t="s">
        <v>394</v>
      </c>
      <c r="G247" s="31">
        <v>22400</v>
      </c>
      <c r="H247" s="31">
        <v>22400</v>
      </c>
      <c r="I247" s="31">
        <v>0</v>
      </c>
      <c r="J247" s="31">
        <v>0</v>
      </c>
      <c r="K247" s="2"/>
    </row>
    <row r="248" spans="1:11" ht="25.5">
      <c r="A248" s="8">
        <v>2</v>
      </c>
      <c r="B248" s="8" t="s">
        <v>402</v>
      </c>
      <c r="C248" s="8" t="s">
        <v>296</v>
      </c>
      <c r="D248" s="8" t="s">
        <v>251</v>
      </c>
      <c r="E248" s="59" t="s">
        <v>201</v>
      </c>
      <c r="F248" s="71" t="s">
        <v>394</v>
      </c>
      <c r="G248" s="31">
        <v>121401</v>
      </c>
      <c r="H248" s="31">
        <v>121401</v>
      </c>
      <c r="I248" s="31">
        <v>0</v>
      </c>
      <c r="J248" s="31">
        <v>0</v>
      </c>
      <c r="K248" s="2"/>
    </row>
    <row r="249" spans="1:11" ht="25.5">
      <c r="A249" s="8">
        <v>3</v>
      </c>
      <c r="B249" s="8" t="s">
        <v>635</v>
      </c>
      <c r="C249" s="8" t="s">
        <v>404</v>
      </c>
      <c r="D249" s="8" t="s">
        <v>1004</v>
      </c>
      <c r="E249" s="59" t="s">
        <v>201</v>
      </c>
      <c r="F249" s="71" t="s">
        <v>394</v>
      </c>
      <c r="G249" s="31">
        <v>15000</v>
      </c>
      <c r="H249" s="31">
        <v>15000</v>
      </c>
      <c r="I249" s="31">
        <v>0</v>
      </c>
      <c r="J249" s="31">
        <v>0</v>
      </c>
      <c r="K249" s="2"/>
    </row>
    <row r="250" spans="1:11" s="32" customFormat="1" ht="24">
      <c r="A250" s="355"/>
      <c r="B250" s="355"/>
      <c r="C250" s="355"/>
      <c r="D250" s="14" t="s">
        <v>384</v>
      </c>
      <c r="E250" s="14" t="s">
        <v>201</v>
      </c>
      <c r="F250" s="15" t="s">
        <v>394</v>
      </c>
      <c r="G250" s="27">
        <f>SUM(G247:G249)</f>
        <v>158801</v>
      </c>
      <c r="H250" s="27">
        <f>SUM(H247:H249)</f>
        <v>158801</v>
      </c>
      <c r="I250" s="27">
        <f>SUM(I247:I249)</f>
        <v>0</v>
      </c>
      <c r="J250" s="27">
        <f>SUM(J247:J249)</f>
        <v>0</v>
      </c>
      <c r="K250" s="110"/>
    </row>
    <row r="251" spans="1:11" ht="24">
      <c r="A251" s="4" t="s">
        <v>387</v>
      </c>
      <c r="B251" s="353" t="s">
        <v>388</v>
      </c>
      <c r="C251" s="356"/>
      <c r="D251" s="352"/>
      <c r="E251" s="352"/>
      <c r="F251" s="5" t="s">
        <v>394</v>
      </c>
      <c r="G251" s="34">
        <f>G308</f>
        <v>701915</v>
      </c>
      <c r="H251" s="34">
        <f>H308</f>
        <v>700063.7899999999</v>
      </c>
      <c r="I251" s="34">
        <f>I308</f>
        <v>0</v>
      </c>
      <c r="J251" s="34">
        <f>J308</f>
        <v>0</v>
      </c>
      <c r="K251" s="2"/>
    </row>
    <row r="252" spans="1:11" ht="25.5">
      <c r="A252" s="8">
        <v>1</v>
      </c>
      <c r="B252" s="8" t="s">
        <v>133</v>
      </c>
      <c r="C252" s="8" t="s">
        <v>405</v>
      </c>
      <c r="D252" s="8" t="s">
        <v>309</v>
      </c>
      <c r="E252" s="59" t="s">
        <v>201</v>
      </c>
      <c r="F252" s="71" t="s">
        <v>394</v>
      </c>
      <c r="G252" s="31">
        <v>115000</v>
      </c>
      <c r="H252" s="31">
        <v>115000</v>
      </c>
      <c r="I252" s="31">
        <v>0</v>
      </c>
      <c r="J252" s="31">
        <v>0</v>
      </c>
      <c r="K252" s="2"/>
    </row>
    <row r="253" spans="1:11" ht="25.5">
      <c r="A253" s="8">
        <v>2</v>
      </c>
      <c r="B253" s="8" t="s">
        <v>134</v>
      </c>
      <c r="C253" s="8" t="s">
        <v>406</v>
      </c>
      <c r="D253" s="137">
        <v>39088</v>
      </c>
      <c r="E253" s="59" t="s">
        <v>201</v>
      </c>
      <c r="F253" s="71" t="s">
        <v>394</v>
      </c>
      <c r="G253" s="31">
        <v>7000</v>
      </c>
      <c r="H253" s="31">
        <v>7000</v>
      </c>
      <c r="I253" s="31">
        <v>0</v>
      </c>
      <c r="J253" s="31">
        <v>0</v>
      </c>
      <c r="K253" s="2"/>
    </row>
    <row r="254" spans="1:11" ht="25.5">
      <c r="A254" s="8">
        <v>3</v>
      </c>
      <c r="B254" s="8" t="s">
        <v>135</v>
      </c>
      <c r="C254" s="8" t="s">
        <v>410</v>
      </c>
      <c r="D254" s="8" t="s">
        <v>252</v>
      </c>
      <c r="E254" s="59" t="s">
        <v>201</v>
      </c>
      <c r="F254" s="71" t="s">
        <v>394</v>
      </c>
      <c r="G254" s="31">
        <v>5750</v>
      </c>
      <c r="H254" s="31">
        <v>5750</v>
      </c>
      <c r="I254" s="31">
        <v>0</v>
      </c>
      <c r="J254" s="31">
        <v>0</v>
      </c>
      <c r="K254" s="2"/>
    </row>
    <row r="255" spans="1:11" ht="25.5">
      <c r="A255" s="8">
        <v>4</v>
      </c>
      <c r="B255" s="8" t="s">
        <v>407</v>
      </c>
      <c r="C255" s="8" t="s">
        <v>408</v>
      </c>
      <c r="D255" s="8" t="s">
        <v>254</v>
      </c>
      <c r="E255" s="59" t="s">
        <v>201</v>
      </c>
      <c r="F255" s="71" t="s">
        <v>394</v>
      </c>
      <c r="G255" s="31">
        <v>6000</v>
      </c>
      <c r="H255" s="31">
        <v>6000</v>
      </c>
      <c r="I255" s="31">
        <v>0</v>
      </c>
      <c r="J255" s="31">
        <v>0</v>
      </c>
      <c r="K255" s="2"/>
    </row>
    <row r="256" spans="1:11" ht="25.5">
      <c r="A256" s="8">
        <v>5</v>
      </c>
      <c r="B256" s="8" t="s">
        <v>136</v>
      </c>
      <c r="C256" s="8" t="s">
        <v>409</v>
      </c>
      <c r="D256" s="137">
        <v>39165</v>
      </c>
      <c r="E256" s="59" t="s">
        <v>201</v>
      </c>
      <c r="F256" s="71" t="s">
        <v>394</v>
      </c>
      <c r="G256" s="31">
        <v>3000</v>
      </c>
      <c r="H256" s="31">
        <v>3000</v>
      </c>
      <c r="I256" s="31">
        <v>0</v>
      </c>
      <c r="J256" s="31">
        <v>0</v>
      </c>
      <c r="K256" s="2"/>
    </row>
    <row r="257" spans="1:11" ht="25.5">
      <c r="A257" s="8">
        <v>6</v>
      </c>
      <c r="B257" s="8" t="s">
        <v>137</v>
      </c>
      <c r="C257" s="8" t="s">
        <v>411</v>
      </c>
      <c r="D257" s="8" t="s">
        <v>1005</v>
      </c>
      <c r="E257" s="59" t="s">
        <v>201</v>
      </c>
      <c r="F257" s="71" t="s">
        <v>394</v>
      </c>
      <c r="G257" s="31">
        <v>20000</v>
      </c>
      <c r="H257" s="31">
        <v>20000</v>
      </c>
      <c r="I257" s="31">
        <v>0</v>
      </c>
      <c r="J257" s="31">
        <v>0</v>
      </c>
      <c r="K257" s="2"/>
    </row>
    <row r="258" spans="1:11" ht="38.25">
      <c r="A258" s="8">
        <v>7</v>
      </c>
      <c r="B258" s="8" t="s">
        <v>138</v>
      </c>
      <c r="C258" s="8" t="s">
        <v>412</v>
      </c>
      <c r="D258" s="8" t="s">
        <v>255</v>
      </c>
      <c r="E258" s="59" t="s">
        <v>201</v>
      </c>
      <c r="F258" s="71" t="s">
        <v>394</v>
      </c>
      <c r="G258" s="31">
        <v>15900</v>
      </c>
      <c r="H258" s="31">
        <v>15900</v>
      </c>
      <c r="I258" s="31">
        <v>0</v>
      </c>
      <c r="J258" s="31">
        <v>0</v>
      </c>
      <c r="K258" s="2"/>
    </row>
    <row r="259" spans="1:11" ht="25.5">
      <c r="A259" s="8">
        <v>8</v>
      </c>
      <c r="B259" s="8" t="s">
        <v>139</v>
      </c>
      <c r="C259" s="8" t="s">
        <v>413</v>
      </c>
      <c r="D259" s="8" t="s">
        <v>255</v>
      </c>
      <c r="E259" s="59" t="s">
        <v>201</v>
      </c>
      <c r="F259" s="71" t="s">
        <v>394</v>
      </c>
      <c r="G259" s="31">
        <v>38500</v>
      </c>
      <c r="H259" s="31">
        <v>38500</v>
      </c>
      <c r="I259" s="31">
        <v>0</v>
      </c>
      <c r="J259" s="31">
        <v>0</v>
      </c>
      <c r="K259" s="2"/>
    </row>
    <row r="260" spans="1:11" ht="25.5">
      <c r="A260" s="8">
        <v>9</v>
      </c>
      <c r="B260" s="8" t="s">
        <v>140</v>
      </c>
      <c r="C260" s="8" t="s">
        <v>414</v>
      </c>
      <c r="D260" s="8" t="s">
        <v>256</v>
      </c>
      <c r="E260" s="59" t="s">
        <v>201</v>
      </c>
      <c r="F260" s="71" t="s">
        <v>394</v>
      </c>
      <c r="G260" s="31">
        <v>22650</v>
      </c>
      <c r="H260" s="31">
        <v>22650</v>
      </c>
      <c r="I260" s="31">
        <v>0</v>
      </c>
      <c r="J260" s="31">
        <v>0</v>
      </c>
      <c r="K260" s="2"/>
    </row>
    <row r="261" spans="1:11" ht="25.5">
      <c r="A261" s="8">
        <v>10</v>
      </c>
      <c r="B261" s="8" t="s">
        <v>173</v>
      </c>
      <c r="C261" s="8" t="s">
        <v>415</v>
      </c>
      <c r="D261" s="8" t="s">
        <v>257</v>
      </c>
      <c r="E261" s="59" t="s">
        <v>201</v>
      </c>
      <c r="F261" s="71" t="s">
        <v>394</v>
      </c>
      <c r="G261" s="31">
        <v>30000</v>
      </c>
      <c r="H261" s="31">
        <v>30000</v>
      </c>
      <c r="I261" s="31">
        <v>0</v>
      </c>
      <c r="J261" s="31">
        <v>0</v>
      </c>
      <c r="K261" s="2"/>
    </row>
    <row r="262" spans="1:11" ht="25.5">
      <c r="A262" s="8">
        <v>11</v>
      </c>
      <c r="B262" s="8" t="s">
        <v>142</v>
      </c>
      <c r="C262" s="8" t="s">
        <v>300</v>
      </c>
      <c r="D262" s="137">
        <v>39203</v>
      </c>
      <c r="E262" s="59" t="s">
        <v>201</v>
      </c>
      <c r="F262" s="71" t="s">
        <v>394</v>
      </c>
      <c r="G262" s="31">
        <v>2500</v>
      </c>
      <c r="H262" s="31">
        <v>2500</v>
      </c>
      <c r="I262" s="31">
        <v>0</v>
      </c>
      <c r="J262" s="31">
        <v>0</v>
      </c>
      <c r="K262" s="2"/>
    </row>
    <row r="263" spans="1:11" ht="25.5">
      <c r="A263" s="8">
        <v>12</v>
      </c>
      <c r="B263" s="8" t="s">
        <v>143</v>
      </c>
      <c r="C263" s="8" t="s">
        <v>416</v>
      </c>
      <c r="D263" s="8" t="s">
        <v>1006</v>
      </c>
      <c r="E263" s="59" t="s">
        <v>201</v>
      </c>
      <c r="F263" s="71" t="s">
        <v>394</v>
      </c>
      <c r="G263" s="31">
        <v>2000</v>
      </c>
      <c r="H263" s="31">
        <v>2000</v>
      </c>
      <c r="I263" s="31">
        <v>0</v>
      </c>
      <c r="J263" s="31">
        <v>0</v>
      </c>
      <c r="K263" s="2"/>
    </row>
    <row r="264" spans="1:11" ht="25.5">
      <c r="A264" s="8">
        <v>13</v>
      </c>
      <c r="B264" s="8" t="s">
        <v>144</v>
      </c>
      <c r="C264" s="8" t="s">
        <v>1022</v>
      </c>
      <c r="D264" s="137">
        <v>39204</v>
      </c>
      <c r="E264" s="59" t="s">
        <v>201</v>
      </c>
      <c r="F264" s="71" t="s">
        <v>394</v>
      </c>
      <c r="G264" s="31">
        <v>7000</v>
      </c>
      <c r="H264" s="31">
        <v>7000</v>
      </c>
      <c r="I264" s="31">
        <v>0</v>
      </c>
      <c r="J264" s="31">
        <v>0</v>
      </c>
      <c r="K264" s="2"/>
    </row>
    <row r="265" spans="1:11" ht="25.5">
      <c r="A265" s="8">
        <v>14</v>
      </c>
      <c r="B265" s="8" t="s">
        <v>145</v>
      </c>
      <c r="C265" s="8" t="s">
        <v>1023</v>
      </c>
      <c r="D265" s="137">
        <v>39207</v>
      </c>
      <c r="E265" s="59" t="s">
        <v>201</v>
      </c>
      <c r="F265" s="71" t="s">
        <v>394</v>
      </c>
      <c r="G265" s="31">
        <v>5000</v>
      </c>
      <c r="H265" s="31">
        <v>5000</v>
      </c>
      <c r="I265" s="31">
        <v>0</v>
      </c>
      <c r="J265" s="31">
        <v>0</v>
      </c>
      <c r="K265" s="2"/>
    </row>
    <row r="266" spans="1:11" ht="25.5">
      <c r="A266" s="8">
        <v>15</v>
      </c>
      <c r="B266" s="8" t="s">
        <v>605</v>
      </c>
      <c r="C266" s="8" t="s">
        <v>1024</v>
      </c>
      <c r="D266" s="137">
        <v>39212</v>
      </c>
      <c r="E266" s="59" t="s">
        <v>201</v>
      </c>
      <c r="F266" s="71" t="s">
        <v>394</v>
      </c>
      <c r="G266" s="31">
        <v>7000</v>
      </c>
      <c r="H266" s="31">
        <v>7000</v>
      </c>
      <c r="I266" s="31">
        <v>0</v>
      </c>
      <c r="J266" s="31">
        <v>0</v>
      </c>
      <c r="K266" s="2"/>
    </row>
    <row r="267" spans="1:11" ht="25.5">
      <c r="A267" s="8">
        <v>16</v>
      </c>
      <c r="B267" s="8" t="s">
        <v>146</v>
      </c>
      <c r="C267" s="8" t="s">
        <v>1025</v>
      </c>
      <c r="D267" s="8" t="s">
        <v>262</v>
      </c>
      <c r="E267" s="59" t="s">
        <v>201</v>
      </c>
      <c r="F267" s="71" t="s">
        <v>394</v>
      </c>
      <c r="G267" s="31">
        <v>30000</v>
      </c>
      <c r="H267" s="31">
        <v>30000</v>
      </c>
      <c r="I267" s="31">
        <v>0</v>
      </c>
      <c r="J267" s="31">
        <v>0</v>
      </c>
      <c r="K267" s="2"/>
    </row>
    <row r="268" spans="1:11" ht="25.5">
      <c r="A268" s="8">
        <v>17</v>
      </c>
      <c r="B268" s="8" t="s">
        <v>1026</v>
      </c>
      <c r="C268" s="8" t="s">
        <v>203</v>
      </c>
      <c r="D268" s="8" t="s">
        <v>261</v>
      </c>
      <c r="E268" s="59" t="s">
        <v>201</v>
      </c>
      <c r="F268" s="71" t="s">
        <v>394</v>
      </c>
      <c r="G268" s="31">
        <v>10000</v>
      </c>
      <c r="H268" s="31">
        <v>10000</v>
      </c>
      <c r="I268" s="31">
        <v>0</v>
      </c>
      <c r="J268" s="31">
        <v>0</v>
      </c>
      <c r="K268" s="2"/>
    </row>
    <row r="269" spans="1:11" ht="25.5">
      <c r="A269" s="8">
        <v>18</v>
      </c>
      <c r="B269" s="8" t="s">
        <v>147</v>
      </c>
      <c r="C269" s="8" t="s">
        <v>1027</v>
      </c>
      <c r="D269" s="8" t="s">
        <v>260</v>
      </c>
      <c r="E269" s="59" t="s">
        <v>201</v>
      </c>
      <c r="F269" s="71" t="s">
        <v>394</v>
      </c>
      <c r="G269" s="31">
        <v>10000</v>
      </c>
      <c r="H269" s="31">
        <v>10000</v>
      </c>
      <c r="I269" s="31">
        <v>0</v>
      </c>
      <c r="J269" s="31">
        <v>0</v>
      </c>
      <c r="K269" s="2"/>
    </row>
    <row r="270" spans="1:11" ht="25.5">
      <c r="A270" s="8">
        <v>19</v>
      </c>
      <c r="B270" s="8" t="s">
        <v>148</v>
      </c>
      <c r="C270" s="8" t="s">
        <v>1028</v>
      </c>
      <c r="D270" s="8" t="s">
        <v>258</v>
      </c>
      <c r="E270" s="59" t="s">
        <v>201</v>
      </c>
      <c r="F270" s="71" t="s">
        <v>394</v>
      </c>
      <c r="G270" s="31">
        <v>8000</v>
      </c>
      <c r="H270" s="31">
        <v>8000</v>
      </c>
      <c r="I270" s="31">
        <v>0</v>
      </c>
      <c r="J270" s="31">
        <v>0</v>
      </c>
      <c r="K270" s="2"/>
    </row>
    <row r="271" spans="1:11" ht="24">
      <c r="A271" s="8">
        <v>20</v>
      </c>
      <c r="B271" s="8" t="s">
        <v>149</v>
      </c>
      <c r="C271" s="8" t="s">
        <v>302</v>
      </c>
      <c r="D271" s="8" t="s">
        <v>263</v>
      </c>
      <c r="E271" s="59" t="s">
        <v>201</v>
      </c>
      <c r="F271" s="71" t="s">
        <v>394</v>
      </c>
      <c r="G271" s="31">
        <v>20000</v>
      </c>
      <c r="H271" s="31">
        <v>20000</v>
      </c>
      <c r="I271" s="31">
        <v>0</v>
      </c>
      <c r="J271" s="31">
        <v>0</v>
      </c>
      <c r="K271" s="2"/>
    </row>
    <row r="272" spans="1:11" ht="25.5">
      <c r="A272" s="8">
        <v>21</v>
      </c>
      <c r="B272" s="8" t="s">
        <v>150</v>
      </c>
      <c r="C272" s="8" t="s">
        <v>1029</v>
      </c>
      <c r="D272" s="137">
        <v>39240</v>
      </c>
      <c r="E272" s="59" t="s">
        <v>201</v>
      </c>
      <c r="F272" s="71" t="s">
        <v>394</v>
      </c>
      <c r="G272" s="31">
        <v>15000</v>
      </c>
      <c r="H272" s="31">
        <v>14809.1</v>
      </c>
      <c r="I272" s="31">
        <v>0</v>
      </c>
      <c r="J272" s="31">
        <v>0</v>
      </c>
      <c r="K272" s="2"/>
    </row>
    <row r="273" spans="1:11" ht="25.5">
      <c r="A273" s="8">
        <v>22</v>
      </c>
      <c r="B273" s="8" t="s">
        <v>151</v>
      </c>
      <c r="C273" s="8" t="s">
        <v>1030</v>
      </c>
      <c r="D273" s="137">
        <v>39240</v>
      </c>
      <c r="E273" s="59" t="s">
        <v>201</v>
      </c>
      <c r="F273" s="71" t="s">
        <v>394</v>
      </c>
      <c r="G273" s="31">
        <v>5000</v>
      </c>
      <c r="H273" s="31">
        <v>5000</v>
      </c>
      <c r="I273" s="31">
        <v>0</v>
      </c>
      <c r="J273" s="31">
        <v>0</v>
      </c>
      <c r="K273" s="2"/>
    </row>
    <row r="274" spans="1:11" ht="25.5">
      <c r="A274" s="8">
        <v>23</v>
      </c>
      <c r="B274" s="8" t="s">
        <v>152</v>
      </c>
      <c r="C274" s="8" t="s">
        <v>406</v>
      </c>
      <c r="D274" s="137">
        <v>39242</v>
      </c>
      <c r="E274" s="59" t="s">
        <v>201</v>
      </c>
      <c r="F274" s="71" t="s">
        <v>394</v>
      </c>
      <c r="G274" s="31">
        <v>10000</v>
      </c>
      <c r="H274" s="31">
        <v>10000</v>
      </c>
      <c r="I274" s="31">
        <v>0</v>
      </c>
      <c r="J274" s="31">
        <v>0</v>
      </c>
      <c r="K274" s="2"/>
    </row>
    <row r="275" spans="1:11" ht="25.5">
      <c r="A275" s="8">
        <v>24</v>
      </c>
      <c r="B275" s="8" t="s">
        <v>153</v>
      </c>
      <c r="C275" s="8" t="s">
        <v>1031</v>
      </c>
      <c r="D275" s="8" t="s">
        <v>1007</v>
      </c>
      <c r="E275" s="59" t="s">
        <v>201</v>
      </c>
      <c r="F275" s="71" t="s">
        <v>394</v>
      </c>
      <c r="G275" s="31">
        <v>10000</v>
      </c>
      <c r="H275" s="31">
        <v>10000</v>
      </c>
      <c r="I275" s="31">
        <v>0</v>
      </c>
      <c r="J275" s="31">
        <v>0</v>
      </c>
      <c r="K275" s="2"/>
    </row>
    <row r="276" spans="1:11" ht="25.5">
      <c r="A276" s="8">
        <v>25</v>
      </c>
      <c r="B276" s="8" t="s">
        <v>154</v>
      </c>
      <c r="C276" s="8" t="s">
        <v>1032</v>
      </c>
      <c r="D276" s="8" t="s">
        <v>259</v>
      </c>
      <c r="E276" s="59" t="s">
        <v>201</v>
      </c>
      <c r="F276" s="71" t="s">
        <v>394</v>
      </c>
      <c r="G276" s="31">
        <v>50000</v>
      </c>
      <c r="H276" s="31">
        <v>50000</v>
      </c>
      <c r="I276" s="31">
        <v>0</v>
      </c>
      <c r="J276" s="31">
        <v>0</v>
      </c>
      <c r="K276" s="2"/>
    </row>
    <row r="277" spans="1:11" ht="25.5">
      <c r="A277" s="8">
        <v>26</v>
      </c>
      <c r="B277" s="8" t="s">
        <v>155</v>
      </c>
      <c r="C277" s="8" t="s">
        <v>472</v>
      </c>
      <c r="D277" s="137">
        <v>39250</v>
      </c>
      <c r="E277" s="59" t="s">
        <v>201</v>
      </c>
      <c r="F277" s="71" t="s">
        <v>394</v>
      </c>
      <c r="G277" s="31">
        <v>9000</v>
      </c>
      <c r="H277" s="31">
        <v>9000</v>
      </c>
      <c r="I277" s="31">
        <v>0</v>
      </c>
      <c r="J277" s="31">
        <v>0</v>
      </c>
      <c r="K277" s="2"/>
    </row>
    <row r="278" spans="1:11" ht="25.5">
      <c r="A278" s="8">
        <v>27</v>
      </c>
      <c r="B278" s="8" t="s">
        <v>599</v>
      </c>
      <c r="C278" s="8" t="s">
        <v>473</v>
      </c>
      <c r="D278" s="137">
        <v>39254</v>
      </c>
      <c r="E278" s="59" t="s">
        <v>201</v>
      </c>
      <c r="F278" s="71" t="s">
        <v>394</v>
      </c>
      <c r="G278" s="31">
        <v>3400</v>
      </c>
      <c r="H278" s="31">
        <v>2418.85</v>
      </c>
      <c r="I278" s="31">
        <v>0</v>
      </c>
      <c r="J278" s="31">
        <v>0</v>
      </c>
      <c r="K278" s="2"/>
    </row>
    <row r="279" spans="1:11" ht="25.5">
      <c r="A279" s="8">
        <v>28</v>
      </c>
      <c r="B279" s="8" t="s">
        <v>600</v>
      </c>
      <c r="C279" s="8" t="s">
        <v>474</v>
      </c>
      <c r="D279" s="137">
        <v>39256</v>
      </c>
      <c r="E279" s="59" t="s">
        <v>201</v>
      </c>
      <c r="F279" s="71" t="s">
        <v>394</v>
      </c>
      <c r="G279" s="31">
        <v>3000</v>
      </c>
      <c r="H279" s="31">
        <v>3000</v>
      </c>
      <c r="I279" s="31">
        <v>0</v>
      </c>
      <c r="J279" s="31">
        <v>0</v>
      </c>
      <c r="K279" s="2"/>
    </row>
    <row r="280" spans="1:11" ht="25.5">
      <c r="A280" s="8">
        <v>29</v>
      </c>
      <c r="B280" s="8" t="s">
        <v>601</v>
      </c>
      <c r="C280" s="8" t="s">
        <v>475</v>
      </c>
      <c r="D280" s="8" t="s">
        <v>264</v>
      </c>
      <c r="E280" s="59" t="s">
        <v>201</v>
      </c>
      <c r="F280" s="71" t="s">
        <v>394</v>
      </c>
      <c r="G280" s="31">
        <v>12300</v>
      </c>
      <c r="H280" s="31">
        <v>12300</v>
      </c>
      <c r="I280" s="31">
        <v>0</v>
      </c>
      <c r="J280" s="31">
        <v>0</v>
      </c>
      <c r="K280" s="2"/>
    </row>
    <row r="281" spans="1:11" ht="25.5">
      <c r="A281" s="8">
        <v>30</v>
      </c>
      <c r="B281" s="8" t="s">
        <v>636</v>
      </c>
      <c r="C281" s="8" t="s">
        <v>476</v>
      </c>
      <c r="D281" s="137">
        <v>39277</v>
      </c>
      <c r="E281" s="59" t="s">
        <v>201</v>
      </c>
      <c r="F281" s="71" t="s">
        <v>394</v>
      </c>
      <c r="G281" s="31">
        <v>25000</v>
      </c>
      <c r="H281" s="31">
        <v>25000</v>
      </c>
      <c r="I281" s="31">
        <v>0</v>
      </c>
      <c r="J281" s="31">
        <v>0</v>
      </c>
      <c r="K281" s="2"/>
    </row>
    <row r="282" spans="1:11" ht="25.5">
      <c r="A282" s="8">
        <v>31</v>
      </c>
      <c r="B282" s="8" t="s">
        <v>602</v>
      </c>
      <c r="C282" s="8" t="s">
        <v>477</v>
      </c>
      <c r="D282" s="137">
        <v>39332</v>
      </c>
      <c r="E282" s="59" t="s">
        <v>201</v>
      </c>
      <c r="F282" s="71" t="s">
        <v>394</v>
      </c>
      <c r="G282" s="31">
        <v>15100</v>
      </c>
      <c r="H282" s="31">
        <v>14600</v>
      </c>
      <c r="I282" s="31">
        <v>0</v>
      </c>
      <c r="J282" s="31">
        <v>0</v>
      </c>
      <c r="K282" s="2"/>
    </row>
    <row r="283" spans="1:11" ht="38.25">
      <c r="A283" s="8">
        <v>32</v>
      </c>
      <c r="B283" s="8" t="s">
        <v>638</v>
      </c>
      <c r="C283" s="8" t="s">
        <v>478</v>
      </c>
      <c r="D283" s="137">
        <v>39333</v>
      </c>
      <c r="E283" s="59" t="s">
        <v>201</v>
      </c>
      <c r="F283" s="71" t="s">
        <v>394</v>
      </c>
      <c r="G283" s="31">
        <v>7500</v>
      </c>
      <c r="H283" s="31">
        <v>7500</v>
      </c>
      <c r="I283" s="31">
        <v>0</v>
      </c>
      <c r="J283" s="31">
        <v>0</v>
      </c>
      <c r="K283" s="2"/>
    </row>
    <row r="284" spans="1:11" ht="25.5">
      <c r="A284" s="8">
        <v>33</v>
      </c>
      <c r="B284" s="8" t="s">
        <v>637</v>
      </c>
      <c r="C284" s="8" t="s">
        <v>479</v>
      </c>
      <c r="D284" s="8" t="s">
        <v>265</v>
      </c>
      <c r="E284" s="59" t="s">
        <v>201</v>
      </c>
      <c r="F284" s="71" t="s">
        <v>394</v>
      </c>
      <c r="G284" s="31">
        <v>10000</v>
      </c>
      <c r="H284" s="31">
        <v>10000</v>
      </c>
      <c r="I284" s="31">
        <v>0</v>
      </c>
      <c r="J284" s="31">
        <v>0</v>
      </c>
      <c r="K284" s="2"/>
    </row>
    <row r="285" spans="1:11" ht="25.5">
      <c r="A285" s="8">
        <v>34</v>
      </c>
      <c r="B285" s="8" t="s">
        <v>639</v>
      </c>
      <c r="C285" s="8" t="s">
        <v>480</v>
      </c>
      <c r="D285" s="137">
        <v>39341</v>
      </c>
      <c r="E285" s="59" t="s">
        <v>201</v>
      </c>
      <c r="F285" s="71" t="s">
        <v>394</v>
      </c>
      <c r="G285" s="31">
        <v>29550</v>
      </c>
      <c r="H285" s="31">
        <v>29550</v>
      </c>
      <c r="I285" s="31">
        <v>0</v>
      </c>
      <c r="J285" s="31">
        <v>0</v>
      </c>
      <c r="K285" s="2"/>
    </row>
    <row r="286" spans="1:11" ht="25.5">
      <c r="A286" s="8">
        <v>35</v>
      </c>
      <c r="B286" s="8" t="s">
        <v>634</v>
      </c>
      <c r="C286" s="8" t="s">
        <v>405</v>
      </c>
      <c r="D286" s="137">
        <v>39338</v>
      </c>
      <c r="E286" s="59" t="s">
        <v>201</v>
      </c>
      <c r="F286" s="71" t="s">
        <v>394</v>
      </c>
      <c r="G286" s="31">
        <v>800</v>
      </c>
      <c r="H286" s="31">
        <v>789.3</v>
      </c>
      <c r="I286" s="31">
        <v>0</v>
      </c>
      <c r="J286" s="31">
        <v>0</v>
      </c>
      <c r="K286" s="2"/>
    </row>
    <row r="287" spans="1:11" ht="25.5">
      <c r="A287" s="8">
        <v>36</v>
      </c>
      <c r="B287" s="8" t="s">
        <v>183</v>
      </c>
      <c r="C287" s="8" t="s">
        <v>752</v>
      </c>
      <c r="D287" s="137">
        <v>39347</v>
      </c>
      <c r="E287" s="59" t="s">
        <v>201</v>
      </c>
      <c r="F287" s="71" t="s">
        <v>394</v>
      </c>
      <c r="G287" s="31">
        <v>2500</v>
      </c>
      <c r="H287" s="31">
        <v>2474.32</v>
      </c>
      <c r="I287" s="31">
        <v>0</v>
      </c>
      <c r="J287" s="31">
        <v>0</v>
      </c>
      <c r="K287" s="2"/>
    </row>
    <row r="288" spans="1:11" ht="38.25">
      <c r="A288" s="8">
        <v>37</v>
      </c>
      <c r="B288" s="8" t="s">
        <v>184</v>
      </c>
      <c r="C288" s="8" t="s">
        <v>753</v>
      </c>
      <c r="D288" s="137">
        <v>39348</v>
      </c>
      <c r="E288" s="59" t="s">
        <v>201</v>
      </c>
      <c r="F288" s="71" t="s">
        <v>394</v>
      </c>
      <c r="G288" s="31">
        <v>2400</v>
      </c>
      <c r="H288" s="31">
        <v>2400</v>
      </c>
      <c r="I288" s="31">
        <v>0</v>
      </c>
      <c r="J288" s="31">
        <v>0</v>
      </c>
      <c r="K288" s="2"/>
    </row>
    <row r="289" spans="1:11" ht="25.5">
      <c r="A289" s="8">
        <v>38</v>
      </c>
      <c r="B289" s="8" t="s">
        <v>190</v>
      </c>
      <c r="C289" s="8" t="s">
        <v>989</v>
      </c>
      <c r="D289" s="137">
        <v>39350</v>
      </c>
      <c r="E289" s="59" t="s">
        <v>201</v>
      </c>
      <c r="F289" s="71" t="s">
        <v>394</v>
      </c>
      <c r="G289" s="31">
        <v>2800</v>
      </c>
      <c r="H289" s="31">
        <v>2800</v>
      </c>
      <c r="I289" s="31">
        <v>0</v>
      </c>
      <c r="J289" s="31">
        <v>0</v>
      </c>
      <c r="K289" s="2"/>
    </row>
    <row r="290" spans="1:11" ht="24">
      <c r="A290" s="8">
        <v>39</v>
      </c>
      <c r="B290" s="8" t="s">
        <v>915</v>
      </c>
      <c r="C290" s="8" t="s">
        <v>481</v>
      </c>
      <c r="D290" s="137">
        <v>39354</v>
      </c>
      <c r="E290" s="59" t="s">
        <v>201</v>
      </c>
      <c r="F290" s="71" t="s">
        <v>394</v>
      </c>
      <c r="G290" s="31">
        <v>4000</v>
      </c>
      <c r="H290" s="31">
        <v>4000</v>
      </c>
      <c r="I290" s="31">
        <v>0</v>
      </c>
      <c r="J290" s="31">
        <v>0</v>
      </c>
      <c r="K290" s="2"/>
    </row>
    <row r="291" spans="1:11" ht="25.5">
      <c r="A291" s="8">
        <v>40</v>
      </c>
      <c r="B291" s="8" t="s">
        <v>603</v>
      </c>
      <c r="C291" s="8" t="s">
        <v>482</v>
      </c>
      <c r="D291" s="8" t="s">
        <v>266</v>
      </c>
      <c r="E291" s="59" t="s">
        <v>201</v>
      </c>
      <c r="F291" s="71" t="s">
        <v>394</v>
      </c>
      <c r="G291" s="31">
        <v>7000</v>
      </c>
      <c r="H291" s="31">
        <v>7000</v>
      </c>
      <c r="I291" s="31">
        <v>0</v>
      </c>
      <c r="J291" s="31">
        <v>0</v>
      </c>
      <c r="K291" s="2"/>
    </row>
    <row r="292" spans="1:11" ht="25.5">
      <c r="A292" s="8">
        <v>41</v>
      </c>
      <c r="B292" s="8" t="s">
        <v>185</v>
      </c>
      <c r="C292" s="8" t="s">
        <v>405</v>
      </c>
      <c r="D292" s="8" t="s">
        <v>267</v>
      </c>
      <c r="E292" s="59" t="s">
        <v>201</v>
      </c>
      <c r="F292" s="71" t="s">
        <v>394</v>
      </c>
      <c r="G292" s="31">
        <v>3500</v>
      </c>
      <c r="H292" s="31">
        <v>3455</v>
      </c>
      <c r="I292" s="31">
        <v>0</v>
      </c>
      <c r="J292" s="31">
        <v>0</v>
      </c>
      <c r="K292" s="2"/>
    </row>
    <row r="293" spans="1:11" ht="25.5">
      <c r="A293" s="8">
        <v>42</v>
      </c>
      <c r="B293" s="8" t="s">
        <v>186</v>
      </c>
      <c r="C293" s="8" t="s">
        <v>408</v>
      </c>
      <c r="D293" s="137">
        <v>39416</v>
      </c>
      <c r="E293" s="59" t="s">
        <v>201</v>
      </c>
      <c r="F293" s="71" t="s">
        <v>394</v>
      </c>
      <c r="G293" s="31">
        <v>4000</v>
      </c>
      <c r="H293" s="31">
        <v>4000</v>
      </c>
      <c r="I293" s="31">
        <v>0</v>
      </c>
      <c r="J293" s="31">
        <v>0</v>
      </c>
      <c r="K293" s="2"/>
    </row>
    <row r="294" spans="1:11" ht="25.5">
      <c r="A294" s="8">
        <v>43</v>
      </c>
      <c r="B294" s="8" t="s">
        <v>919</v>
      </c>
      <c r="C294" s="8" t="s">
        <v>475</v>
      </c>
      <c r="D294" s="8" t="s">
        <v>268</v>
      </c>
      <c r="E294" s="59" t="s">
        <v>201</v>
      </c>
      <c r="F294" s="71" t="s">
        <v>394</v>
      </c>
      <c r="G294" s="31">
        <v>4000</v>
      </c>
      <c r="H294" s="31">
        <v>4000</v>
      </c>
      <c r="I294" s="31">
        <v>0</v>
      </c>
      <c r="J294" s="31">
        <v>0</v>
      </c>
      <c r="K294" s="2"/>
    </row>
    <row r="295" spans="1:11" ht="25.5">
      <c r="A295" s="8">
        <v>44</v>
      </c>
      <c r="B295" s="8" t="s">
        <v>194</v>
      </c>
      <c r="C295" s="8" t="s">
        <v>475</v>
      </c>
      <c r="D295" s="8" t="s">
        <v>269</v>
      </c>
      <c r="E295" s="59" t="s">
        <v>201</v>
      </c>
      <c r="F295" s="71" t="s">
        <v>394</v>
      </c>
      <c r="G295" s="31">
        <v>10000</v>
      </c>
      <c r="H295" s="31">
        <v>10000</v>
      </c>
      <c r="I295" s="31">
        <v>0</v>
      </c>
      <c r="J295" s="31">
        <v>0</v>
      </c>
      <c r="K295" s="2"/>
    </row>
    <row r="296" spans="1:11" ht="25.5">
      <c r="A296" s="8">
        <v>45</v>
      </c>
      <c r="B296" s="8" t="s">
        <v>917</v>
      </c>
      <c r="C296" s="8" t="s">
        <v>483</v>
      </c>
      <c r="D296" s="137">
        <v>39431</v>
      </c>
      <c r="E296" s="59" t="s">
        <v>201</v>
      </c>
      <c r="F296" s="71" t="s">
        <v>394</v>
      </c>
      <c r="G296" s="31">
        <v>46200</v>
      </c>
      <c r="H296" s="31">
        <v>46200</v>
      </c>
      <c r="I296" s="31">
        <v>0</v>
      </c>
      <c r="J296" s="31">
        <v>0</v>
      </c>
      <c r="K296" s="2"/>
    </row>
    <row r="297" spans="1:11" ht="25.5">
      <c r="A297" s="8">
        <v>46</v>
      </c>
      <c r="B297" s="8" t="s">
        <v>918</v>
      </c>
      <c r="C297" s="8" t="s">
        <v>484</v>
      </c>
      <c r="D297" s="137">
        <v>39432</v>
      </c>
      <c r="E297" s="59" t="s">
        <v>201</v>
      </c>
      <c r="F297" s="71" t="s">
        <v>394</v>
      </c>
      <c r="G297" s="31">
        <v>1500</v>
      </c>
      <c r="H297" s="31">
        <v>1500</v>
      </c>
      <c r="I297" s="31">
        <v>0</v>
      </c>
      <c r="J297" s="31">
        <v>0</v>
      </c>
      <c r="K297" s="2"/>
    </row>
    <row r="298" spans="1:11" ht="25.5">
      <c r="A298" s="8">
        <v>47</v>
      </c>
      <c r="B298" s="8" t="s">
        <v>193</v>
      </c>
      <c r="C298" s="8" t="s">
        <v>485</v>
      </c>
      <c r="D298" s="8" t="s">
        <v>270</v>
      </c>
      <c r="E298" s="59" t="s">
        <v>201</v>
      </c>
      <c r="F298" s="71" t="s">
        <v>394</v>
      </c>
      <c r="G298" s="31">
        <v>6315</v>
      </c>
      <c r="H298" s="31">
        <v>6280.12</v>
      </c>
      <c r="I298" s="31">
        <v>0</v>
      </c>
      <c r="J298" s="31">
        <v>0</v>
      </c>
      <c r="K298" s="2"/>
    </row>
    <row r="299" spans="1:11" ht="24">
      <c r="A299" s="8">
        <v>48</v>
      </c>
      <c r="B299" s="8" t="s">
        <v>195</v>
      </c>
      <c r="C299" s="8" t="s">
        <v>485</v>
      </c>
      <c r="D299" s="137">
        <v>39415</v>
      </c>
      <c r="E299" s="59" t="s">
        <v>201</v>
      </c>
      <c r="F299" s="71" t="s">
        <v>394</v>
      </c>
      <c r="G299" s="31">
        <v>1700</v>
      </c>
      <c r="H299" s="31">
        <v>1660.6</v>
      </c>
      <c r="I299" s="31">
        <v>0</v>
      </c>
      <c r="J299" s="31">
        <v>0</v>
      </c>
      <c r="K299" s="2"/>
    </row>
    <row r="300" spans="1:11" ht="25.5">
      <c r="A300" s="8">
        <v>49</v>
      </c>
      <c r="B300" s="8" t="s">
        <v>604</v>
      </c>
      <c r="C300" s="8" t="s">
        <v>486</v>
      </c>
      <c r="D300" s="137">
        <v>39433</v>
      </c>
      <c r="E300" s="59" t="s">
        <v>201</v>
      </c>
      <c r="F300" s="71" t="s">
        <v>394</v>
      </c>
      <c r="G300" s="31">
        <v>10000</v>
      </c>
      <c r="H300" s="31">
        <v>9976.5</v>
      </c>
      <c r="I300" s="31">
        <v>0</v>
      </c>
      <c r="J300" s="31">
        <v>0</v>
      </c>
      <c r="K300" s="2"/>
    </row>
    <row r="301" spans="1:11" ht="25.5">
      <c r="A301" s="8">
        <v>50</v>
      </c>
      <c r="B301" s="8" t="s">
        <v>198</v>
      </c>
      <c r="C301" s="8" t="s">
        <v>563</v>
      </c>
      <c r="D301" s="137">
        <v>39403</v>
      </c>
      <c r="E301" s="59" t="s">
        <v>201</v>
      </c>
      <c r="F301" s="71" t="s">
        <v>394</v>
      </c>
      <c r="G301" s="31">
        <v>850</v>
      </c>
      <c r="H301" s="31">
        <v>850</v>
      </c>
      <c r="I301" s="31">
        <v>0</v>
      </c>
      <c r="J301" s="31">
        <v>0</v>
      </c>
      <c r="K301" s="2"/>
    </row>
    <row r="302" spans="1:11" ht="25.5">
      <c r="A302" s="8">
        <v>51</v>
      </c>
      <c r="B302" s="8" t="s">
        <v>199</v>
      </c>
      <c r="C302" s="8" t="s">
        <v>174</v>
      </c>
      <c r="D302" s="137">
        <v>39434</v>
      </c>
      <c r="E302" s="59" t="s">
        <v>201</v>
      </c>
      <c r="F302" s="71" t="s">
        <v>394</v>
      </c>
      <c r="G302" s="31">
        <v>3000</v>
      </c>
      <c r="H302" s="31">
        <v>3000</v>
      </c>
      <c r="I302" s="31">
        <v>0</v>
      </c>
      <c r="J302" s="31">
        <v>0</v>
      </c>
      <c r="K302" s="2"/>
    </row>
    <row r="303" spans="1:11" ht="25.5">
      <c r="A303" s="8">
        <v>52</v>
      </c>
      <c r="B303" s="8" t="s">
        <v>488</v>
      </c>
      <c r="C303" s="8" t="s">
        <v>296</v>
      </c>
      <c r="D303" s="8" t="s">
        <v>270</v>
      </c>
      <c r="E303" s="59" t="s">
        <v>201</v>
      </c>
      <c r="F303" s="71" t="s">
        <v>394</v>
      </c>
      <c r="G303" s="31">
        <v>8400</v>
      </c>
      <c r="H303" s="31">
        <v>8400</v>
      </c>
      <c r="I303" s="31">
        <v>0</v>
      </c>
      <c r="J303" s="31">
        <v>0</v>
      </c>
      <c r="K303" s="2"/>
    </row>
    <row r="304" spans="1:11" ht="25.5">
      <c r="A304" s="8">
        <v>53</v>
      </c>
      <c r="B304" s="8" t="s">
        <v>489</v>
      </c>
      <c r="C304" s="8" t="s">
        <v>490</v>
      </c>
      <c r="D304" s="8" t="s">
        <v>270</v>
      </c>
      <c r="E304" s="59" t="s">
        <v>201</v>
      </c>
      <c r="F304" s="71" t="s">
        <v>394</v>
      </c>
      <c r="G304" s="31">
        <v>5000</v>
      </c>
      <c r="H304" s="31">
        <v>5000</v>
      </c>
      <c r="I304" s="31">
        <v>0</v>
      </c>
      <c r="J304" s="31">
        <v>0</v>
      </c>
      <c r="K304" s="2"/>
    </row>
    <row r="305" spans="1:11" ht="25.5">
      <c r="A305" s="8">
        <v>54</v>
      </c>
      <c r="B305" s="8" t="s">
        <v>200</v>
      </c>
      <c r="C305" s="8" t="s">
        <v>492</v>
      </c>
      <c r="D305" s="8" t="s">
        <v>270</v>
      </c>
      <c r="E305" s="59" t="s">
        <v>201</v>
      </c>
      <c r="F305" s="71" t="s">
        <v>394</v>
      </c>
      <c r="G305" s="31">
        <v>800</v>
      </c>
      <c r="H305" s="31">
        <v>800</v>
      </c>
      <c r="I305" s="31">
        <v>0</v>
      </c>
      <c r="J305" s="31">
        <v>0</v>
      </c>
      <c r="K305" s="2"/>
    </row>
    <row r="306" spans="1:11" ht="27" customHeight="1">
      <c r="A306" s="8">
        <v>55</v>
      </c>
      <c r="B306" s="8" t="s">
        <v>197</v>
      </c>
      <c r="C306" s="8" t="s">
        <v>493</v>
      </c>
      <c r="D306" s="8" t="s">
        <v>271</v>
      </c>
      <c r="E306" s="59" t="s">
        <v>201</v>
      </c>
      <c r="F306" s="71" t="s">
        <v>394</v>
      </c>
      <c r="G306" s="31">
        <v>2000</v>
      </c>
      <c r="H306" s="31">
        <v>2000</v>
      </c>
      <c r="I306" s="31">
        <v>0</v>
      </c>
      <c r="J306" s="31">
        <v>0</v>
      </c>
      <c r="K306" s="2"/>
    </row>
    <row r="307" spans="1:11" ht="30.75" customHeight="1">
      <c r="A307" s="8">
        <v>56</v>
      </c>
      <c r="B307" s="8" t="s">
        <v>196</v>
      </c>
      <c r="C307" s="8" t="s">
        <v>494</v>
      </c>
      <c r="D307" s="8" t="s">
        <v>1008</v>
      </c>
      <c r="E307" s="59" t="s">
        <v>201</v>
      </c>
      <c r="F307" s="71" t="s">
        <v>394</v>
      </c>
      <c r="G307" s="31">
        <v>5000</v>
      </c>
      <c r="H307" s="31">
        <v>5000</v>
      </c>
      <c r="I307" s="31">
        <v>0</v>
      </c>
      <c r="J307" s="31">
        <v>0</v>
      </c>
      <c r="K307" s="2"/>
    </row>
    <row r="308" spans="1:11" ht="24">
      <c r="A308" s="352"/>
      <c r="B308" s="352"/>
      <c r="C308" s="352"/>
      <c r="D308" s="67" t="s">
        <v>384</v>
      </c>
      <c r="E308" s="14" t="s">
        <v>201</v>
      </c>
      <c r="F308" s="15" t="s">
        <v>394</v>
      </c>
      <c r="G308" s="68">
        <f>SUM(G252:G307)</f>
        <v>701915</v>
      </c>
      <c r="H308" s="68">
        <f>SUM(H252:H307)</f>
        <v>700063.7899999999</v>
      </c>
      <c r="I308" s="68">
        <f>SUM(I252:I307)</f>
        <v>0</v>
      </c>
      <c r="J308" s="68">
        <f>SUM(J252:J307)</f>
        <v>0</v>
      </c>
      <c r="K308" s="2"/>
    </row>
    <row r="309" spans="1:11" ht="24">
      <c r="A309" s="4" t="s">
        <v>693</v>
      </c>
      <c r="B309" s="353" t="s">
        <v>391</v>
      </c>
      <c r="C309" s="353"/>
      <c r="D309" s="352"/>
      <c r="E309" s="352"/>
      <c r="F309" s="5" t="s">
        <v>394</v>
      </c>
      <c r="G309" s="34">
        <f>G319</f>
        <v>170672</v>
      </c>
      <c r="H309" s="34">
        <f>H319</f>
        <v>169672</v>
      </c>
      <c r="I309" s="34">
        <f>I319</f>
        <v>0</v>
      </c>
      <c r="J309" s="34">
        <f>J319</f>
        <v>0</v>
      </c>
      <c r="K309" s="2"/>
    </row>
    <row r="310" spans="1:11" ht="38.25">
      <c r="A310" s="8">
        <v>1</v>
      </c>
      <c r="B310" s="8" t="s">
        <v>495</v>
      </c>
      <c r="C310" s="8" t="s">
        <v>296</v>
      </c>
      <c r="D310" s="8" t="s">
        <v>731</v>
      </c>
      <c r="E310" s="59" t="s">
        <v>201</v>
      </c>
      <c r="F310" s="71" t="s">
        <v>394</v>
      </c>
      <c r="G310" s="31">
        <v>19000</v>
      </c>
      <c r="H310" s="31">
        <v>19000</v>
      </c>
      <c r="I310" s="31">
        <v>0</v>
      </c>
      <c r="J310" s="31">
        <v>0</v>
      </c>
      <c r="K310" s="2"/>
    </row>
    <row r="311" spans="1:11" ht="25.5">
      <c r="A311" s="8">
        <v>2</v>
      </c>
      <c r="B311" s="8" t="s">
        <v>496</v>
      </c>
      <c r="C311" s="8" t="s">
        <v>497</v>
      </c>
      <c r="D311" s="8" t="s">
        <v>732</v>
      </c>
      <c r="E311" s="59" t="s">
        <v>201</v>
      </c>
      <c r="F311" s="71" t="s">
        <v>394</v>
      </c>
      <c r="G311" s="31">
        <v>1342</v>
      </c>
      <c r="H311" s="31">
        <v>1342</v>
      </c>
      <c r="I311" s="31">
        <v>0</v>
      </c>
      <c r="J311" s="31">
        <v>0</v>
      </c>
      <c r="K311" s="2"/>
    </row>
    <row r="312" spans="1:11" ht="25.5">
      <c r="A312" s="8">
        <v>3</v>
      </c>
      <c r="B312" s="8" t="s">
        <v>566</v>
      </c>
      <c r="C312" s="8" t="s">
        <v>498</v>
      </c>
      <c r="D312" s="8" t="s">
        <v>733</v>
      </c>
      <c r="E312" s="59" t="s">
        <v>201</v>
      </c>
      <c r="F312" s="71" t="s">
        <v>394</v>
      </c>
      <c r="G312" s="31">
        <v>17000</v>
      </c>
      <c r="H312" s="31">
        <v>16500</v>
      </c>
      <c r="I312" s="31">
        <v>0</v>
      </c>
      <c r="J312" s="31">
        <v>0</v>
      </c>
      <c r="K312" s="2"/>
    </row>
    <row r="313" spans="1:11" ht="25.5">
      <c r="A313" s="8">
        <v>4</v>
      </c>
      <c r="B313" s="8" t="s">
        <v>567</v>
      </c>
      <c r="C313" s="8" t="s">
        <v>499</v>
      </c>
      <c r="D313" s="137">
        <v>39243</v>
      </c>
      <c r="E313" s="59" t="s">
        <v>201</v>
      </c>
      <c r="F313" s="71" t="s">
        <v>394</v>
      </c>
      <c r="G313" s="31">
        <v>2500</v>
      </c>
      <c r="H313" s="31">
        <v>2000</v>
      </c>
      <c r="I313" s="31">
        <v>0</v>
      </c>
      <c r="J313" s="31">
        <v>0</v>
      </c>
      <c r="K313" s="2"/>
    </row>
    <row r="314" spans="1:11" ht="25.5">
      <c r="A314" s="8">
        <v>5</v>
      </c>
      <c r="B314" s="8" t="s">
        <v>500</v>
      </c>
      <c r="C314" s="8" t="s">
        <v>296</v>
      </c>
      <c r="D314" s="137">
        <v>39249</v>
      </c>
      <c r="E314" s="59" t="s">
        <v>201</v>
      </c>
      <c r="F314" s="71" t="s">
        <v>394</v>
      </c>
      <c r="G314" s="31">
        <v>3000</v>
      </c>
      <c r="H314" s="31">
        <v>3000</v>
      </c>
      <c r="I314" s="31">
        <v>0</v>
      </c>
      <c r="J314" s="31">
        <v>0</v>
      </c>
      <c r="K314" s="2"/>
    </row>
    <row r="315" spans="1:11" ht="38.25">
      <c r="A315" s="8">
        <v>6</v>
      </c>
      <c r="B315" s="8" t="s">
        <v>568</v>
      </c>
      <c r="C315" s="8" t="s">
        <v>501</v>
      </c>
      <c r="D315" s="8" t="s">
        <v>734</v>
      </c>
      <c r="E315" s="59" t="s">
        <v>201</v>
      </c>
      <c r="F315" s="71" t="s">
        <v>394</v>
      </c>
      <c r="G315" s="31">
        <v>6000</v>
      </c>
      <c r="H315" s="31">
        <v>6000</v>
      </c>
      <c r="I315" s="31">
        <v>0</v>
      </c>
      <c r="J315" s="31">
        <v>0</v>
      </c>
      <c r="K315" s="2"/>
    </row>
    <row r="316" spans="1:11" ht="38.25">
      <c r="A316" s="8">
        <v>7</v>
      </c>
      <c r="B316" s="8" t="s">
        <v>502</v>
      </c>
      <c r="C316" s="8" t="s">
        <v>503</v>
      </c>
      <c r="D316" s="8" t="s">
        <v>735</v>
      </c>
      <c r="E316" s="59" t="s">
        <v>201</v>
      </c>
      <c r="F316" s="71" t="s">
        <v>394</v>
      </c>
      <c r="G316" s="31">
        <v>5000</v>
      </c>
      <c r="H316" s="31">
        <v>5000</v>
      </c>
      <c r="I316" s="31">
        <v>0</v>
      </c>
      <c r="J316" s="31">
        <v>0</v>
      </c>
      <c r="K316" s="2"/>
    </row>
    <row r="317" spans="1:11" ht="25.5">
      <c r="A317" s="8">
        <v>8</v>
      </c>
      <c r="B317" s="8" t="s">
        <v>569</v>
      </c>
      <c r="C317" s="8" t="s">
        <v>296</v>
      </c>
      <c r="D317" s="137">
        <v>39342</v>
      </c>
      <c r="E317" s="59" t="s">
        <v>201</v>
      </c>
      <c r="F317" s="71" t="s">
        <v>394</v>
      </c>
      <c r="G317" s="31">
        <v>6830</v>
      </c>
      <c r="H317" s="31">
        <v>6830</v>
      </c>
      <c r="I317" s="31">
        <v>0</v>
      </c>
      <c r="J317" s="31">
        <v>0</v>
      </c>
      <c r="K317" s="2"/>
    </row>
    <row r="318" spans="1:11" ht="38.25">
      <c r="A318" s="8">
        <v>9</v>
      </c>
      <c r="B318" s="8" t="s">
        <v>570</v>
      </c>
      <c r="C318" s="8" t="s">
        <v>504</v>
      </c>
      <c r="D318" s="8" t="s">
        <v>736</v>
      </c>
      <c r="E318" s="59" t="s">
        <v>201</v>
      </c>
      <c r="F318" s="71" t="s">
        <v>394</v>
      </c>
      <c r="G318" s="31">
        <v>110000</v>
      </c>
      <c r="H318" s="31">
        <v>110000</v>
      </c>
      <c r="I318" s="31">
        <v>0</v>
      </c>
      <c r="J318" s="31">
        <v>0</v>
      </c>
      <c r="K318" s="2"/>
    </row>
    <row r="319" spans="1:11" ht="24">
      <c r="A319" s="352"/>
      <c r="B319" s="352"/>
      <c r="C319" s="352"/>
      <c r="D319" s="67" t="s">
        <v>384</v>
      </c>
      <c r="E319" s="14" t="s">
        <v>201</v>
      </c>
      <c r="F319" s="15" t="s">
        <v>394</v>
      </c>
      <c r="G319" s="68">
        <f>SUM(G310:G318)</f>
        <v>170672</v>
      </c>
      <c r="H319" s="68">
        <f>SUM(H310:H318)</f>
        <v>169672</v>
      </c>
      <c r="I319" s="68">
        <f>SUM(I310:I318)</f>
        <v>0</v>
      </c>
      <c r="J319" s="68">
        <f>SUM(J310:J318)</f>
        <v>0</v>
      </c>
      <c r="K319" s="2"/>
    </row>
    <row r="320" spans="1:11" ht="24">
      <c r="A320" s="4" t="s">
        <v>695</v>
      </c>
      <c r="B320" s="353" t="s">
        <v>393</v>
      </c>
      <c r="C320" s="353"/>
      <c r="D320" s="352"/>
      <c r="E320" s="352"/>
      <c r="F320" s="5" t="s">
        <v>394</v>
      </c>
      <c r="G320" s="34">
        <f>G354</f>
        <v>140000</v>
      </c>
      <c r="H320" s="34">
        <f>H354</f>
        <v>132978.69</v>
      </c>
      <c r="I320" s="34">
        <f>I354</f>
        <v>0</v>
      </c>
      <c r="J320" s="34">
        <f>J354</f>
        <v>0</v>
      </c>
      <c r="K320" s="2"/>
    </row>
    <row r="321" spans="1:11" ht="25.5">
      <c r="A321" s="8">
        <v>1</v>
      </c>
      <c r="B321" s="8" t="s">
        <v>94</v>
      </c>
      <c r="C321" s="8" t="s">
        <v>505</v>
      </c>
      <c r="D321" s="8" t="s">
        <v>309</v>
      </c>
      <c r="E321" s="59" t="s">
        <v>201</v>
      </c>
      <c r="F321" s="71" t="s">
        <v>394</v>
      </c>
      <c r="G321" s="31">
        <v>7000</v>
      </c>
      <c r="H321" s="31">
        <v>7000</v>
      </c>
      <c r="I321" s="31">
        <v>0</v>
      </c>
      <c r="J321" s="31">
        <v>0</v>
      </c>
      <c r="K321" s="2"/>
    </row>
    <row r="322" spans="1:11" ht="25.5">
      <c r="A322" s="8">
        <v>2</v>
      </c>
      <c r="B322" s="8" t="s">
        <v>573</v>
      </c>
      <c r="C322" s="8" t="s">
        <v>506</v>
      </c>
      <c r="D322" s="8" t="s">
        <v>253</v>
      </c>
      <c r="E322" s="59" t="s">
        <v>201</v>
      </c>
      <c r="F322" s="71" t="s">
        <v>394</v>
      </c>
      <c r="G322" s="31">
        <v>3000</v>
      </c>
      <c r="H322" s="31">
        <v>3000</v>
      </c>
      <c r="I322" s="31">
        <v>0</v>
      </c>
      <c r="J322" s="31">
        <v>0</v>
      </c>
      <c r="K322" s="2"/>
    </row>
    <row r="323" spans="1:11" ht="25.5">
      <c r="A323" s="8">
        <v>3</v>
      </c>
      <c r="B323" s="8" t="s">
        <v>571</v>
      </c>
      <c r="C323" s="8" t="s">
        <v>760</v>
      </c>
      <c r="D323" s="8" t="s">
        <v>572</v>
      </c>
      <c r="E323" s="59" t="s">
        <v>201</v>
      </c>
      <c r="F323" s="71" t="s">
        <v>394</v>
      </c>
      <c r="G323" s="31">
        <v>4500</v>
      </c>
      <c r="H323" s="31">
        <v>4500</v>
      </c>
      <c r="I323" s="31">
        <v>0</v>
      </c>
      <c r="J323" s="31">
        <v>0</v>
      </c>
      <c r="K323" s="2"/>
    </row>
    <row r="324" spans="1:11" ht="25.5">
      <c r="A324" s="8">
        <v>4</v>
      </c>
      <c r="B324" s="8" t="s">
        <v>574</v>
      </c>
      <c r="C324" s="8" t="s">
        <v>507</v>
      </c>
      <c r="D324" s="8" t="s">
        <v>737</v>
      </c>
      <c r="E324" s="59" t="s">
        <v>201</v>
      </c>
      <c r="F324" s="71" t="s">
        <v>394</v>
      </c>
      <c r="G324" s="31">
        <v>3000</v>
      </c>
      <c r="H324" s="31">
        <v>3000</v>
      </c>
      <c r="I324" s="31">
        <v>0</v>
      </c>
      <c r="J324" s="31">
        <v>0</v>
      </c>
      <c r="K324" s="2"/>
    </row>
    <row r="325" spans="1:11" ht="25.5">
      <c r="A325" s="8">
        <v>5</v>
      </c>
      <c r="B325" s="8" t="s">
        <v>575</v>
      </c>
      <c r="C325" s="8" t="s">
        <v>508</v>
      </c>
      <c r="D325" s="8" t="s">
        <v>738</v>
      </c>
      <c r="E325" s="59" t="s">
        <v>201</v>
      </c>
      <c r="F325" s="71" t="s">
        <v>394</v>
      </c>
      <c r="G325" s="31">
        <v>4000</v>
      </c>
      <c r="H325" s="31">
        <v>3995.22</v>
      </c>
      <c r="I325" s="31">
        <v>0</v>
      </c>
      <c r="J325" s="31">
        <v>0</v>
      </c>
      <c r="K325" s="2"/>
    </row>
    <row r="326" spans="1:11" ht="25.5">
      <c r="A326" s="8">
        <v>6</v>
      </c>
      <c r="B326" s="8" t="s">
        <v>123</v>
      </c>
      <c r="C326" s="8" t="s">
        <v>509</v>
      </c>
      <c r="D326" s="8" t="s">
        <v>739</v>
      </c>
      <c r="E326" s="59" t="s">
        <v>201</v>
      </c>
      <c r="F326" s="71" t="s">
        <v>394</v>
      </c>
      <c r="G326" s="31">
        <v>10000</v>
      </c>
      <c r="H326" s="31">
        <v>10000</v>
      </c>
      <c r="I326" s="31">
        <v>0</v>
      </c>
      <c r="J326" s="31">
        <v>0</v>
      </c>
      <c r="K326" s="2"/>
    </row>
    <row r="327" spans="1:11" ht="25.5">
      <c r="A327" s="8">
        <v>7</v>
      </c>
      <c r="B327" s="8" t="s">
        <v>124</v>
      </c>
      <c r="C327" s="8" t="s">
        <v>510</v>
      </c>
      <c r="D327" s="8" t="s">
        <v>689</v>
      </c>
      <c r="E327" s="59" t="s">
        <v>201</v>
      </c>
      <c r="F327" s="71" t="s">
        <v>394</v>
      </c>
      <c r="G327" s="31">
        <v>1500</v>
      </c>
      <c r="H327" s="31">
        <v>1500</v>
      </c>
      <c r="I327" s="31">
        <v>0</v>
      </c>
      <c r="J327" s="31">
        <v>0</v>
      </c>
      <c r="K327" s="2"/>
    </row>
    <row r="328" spans="1:11" ht="25.5">
      <c r="A328" s="8">
        <v>8</v>
      </c>
      <c r="B328" s="8" t="s">
        <v>191</v>
      </c>
      <c r="C328" s="8" t="s">
        <v>413</v>
      </c>
      <c r="D328" s="8" t="s">
        <v>689</v>
      </c>
      <c r="E328" s="59" t="s">
        <v>201</v>
      </c>
      <c r="F328" s="71" t="s">
        <v>394</v>
      </c>
      <c r="G328" s="31">
        <v>2000</v>
      </c>
      <c r="H328" s="31">
        <v>2000</v>
      </c>
      <c r="I328" s="31">
        <v>0</v>
      </c>
      <c r="J328" s="31">
        <v>0</v>
      </c>
      <c r="K328" s="2"/>
    </row>
    <row r="329" spans="1:11" ht="25.5">
      <c r="A329" s="8">
        <v>9</v>
      </c>
      <c r="B329" s="8" t="s">
        <v>92</v>
      </c>
      <c r="C329" s="8" t="s">
        <v>511</v>
      </c>
      <c r="D329" s="8" t="s">
        <v>740</v>
      </c>
      <c r="E329" s="59" t="s">
        <v>201</v>
      </c>
      <c r="F329" s="71" t="s">
        <v>394</v>
      </c>
      <c r="G329" s="31">
        <v>3000</v>
      </c>
      <c r="H329" s="31">
        <v>3000</v>
      </c>
      <c r="I329" s="31">
        <v>0</v>
      </c>
      <c r="J329" s="31">
        <v>0</v>
      </c>
      <c r="K329" s="2"/>
    </row>
    <row r="330" spans="1:11" ht="25.5">
      <c r="A330" s="8">
        <v>10</v>
      </c>
      <c r="B330" s="8" t="s">
        <v>95</v>
      </c>
      <c r="C330" s="8" t="s">
        <v>512</v>
      </c>
      <c r="D330" s="8" t="s">
        <v>741</v>
      </c>
      <c r="E330" s="59" t="s">
        <v>201</v>
      </c>
      <c r="F330" s="71" t="s">
        <v>394</v>
      </c>
      <c r="G330" s="31">
        <v>4000</v>
      </c>
      <c r="H330" s="31" t="s">
        <v>96</v>
      </c>
      <c r="I330" s="31">
        <v>0</v>
      </c>
      <c r="J330" s="31">
        <v>0</v>
      </c>
      <c r="K330" s="2"/>
    </row>
    <row r="331" spans="1:11" ht="25.5">
      <c r="A331" s="8">
        <v>11</v>
      </c>
      <c r="B331" s="8" t="s">
        <v>997</v>
      </c>
      <c r="C331" s="8" t="s">
        <v>513</v>
      </c>
      <c r="D331" s="8" t="s">
        <v>742</v>
      </c>
      <c r="E331" s="59" t="s">
        <v>201</v>
      </c>
      <c r="F331" s="71" t="s">
        <v>394</v>
      </c>
      <c r="G331" s="31">
        <v>4000</v>
      </c>
      <c r="H331" s="31">
        <v>4000</v>
      </c>
      <c r="I331" s="31">
        <v>0</v>
      </c>
      <c r="J331" s="31">
        <v>0</v>
      </c>
      <c r="K331" s="2"/>
    </row>
    <row r="332" spans="1:11" ht="25.5">
      <c r="A332" s="8">
        <v>12</v>
      </c>
      <c r="B332" s="8" t="s">
        <v>93</v>
      </c>
      <c r="C332" s="8" t="s">
        <v>514</v>
      </c>
      <c r="D332" s="137">
        <v>39186</v>
      </c>
      <c r="E332" s="59" t="s">
        <v>201</v>
      </c>
      <c r="F332" s="71" t="s">
        <v>394</v>
      </c>
      <c r="G332" s="31">
        <v>2000</v>
      </c>
      <c r="H332" s="31">
        <v>2000</v>
      </c>
      <c r="I332" s="31">
        <v>0</v>
      </c>
      <c r="J332" s="31">
        <v>0</v>
      </c>
      <c r="K332" s="2"/>
    </row>
    <row r="333" spans="1:11" ht="25.5">
      <c r="A333" s="8">
        <v>13</v>
      </c>
      <c r="B333" s="8" t="s">
        <v>125</v>
      </c>
      <c r="C333" s="8" t="s">
        <v>515</v>
      </c>
      <c r="D333" s="8" t="s">
        <v>743</v>
      </c>
      <c r="E333" s="59" t="s">
        <v>201</v>
      </c>
      <c r="F333" s="71" t="s">
        <v>394</v>
      </c>
      <c r="G333" s="31">
        <v>5000</v>
      </c>
      <c r="H333" s="31">
        <v>5000</v>
      </c>
      <c r="I333" s="31">
        <v>0</v>
      </c>
      <c r="J333" s="31">
        <v>0</v>
      </c>
      <c r="K333" s="2"/>
    </row>
    <row r="334" spans="1:11" ht="25.5">
      <c r="A334" s="8">
        <v>14</v>
      </c>
      <c r="B334" s="8" t="s">
        <v>98</v>
      </c>
      <c r="C334" s="8" t="s">
        <v>479</v>
      </c>
      <c r="D334" s="8" t="s">
        <v>256</v>
      </c>
      <c r="E334" s="59" t="s">
        <v>201</v>
      </c>
      <c r="F334" s="71" t="s">
        <v>394</v>
      </c>
      <c r="G334" s="31">
        <v>3000</v>
      </c>
      <c r="H334" s="31">
        <v>3000</v>
      </c>
      <c r="I334" s="31">
        <v>0</v>
      </c>
      <c r="J334" s="31">
        <v>0</v>
      </c>
      <c r="K334" s="2"/>
    </row>
    <row r="335" spans="1:11" ht="38.25">
      <c r="A335" s="8">
        <v>15</v>
      </c>
      <c r="B335" s="8" t="s">
        <v>126</v>
      </c>
      <c r="C335" s="8" t="s">
        <v>551</v>
      </c>
      <c r="D335" s="137">
        <v>39211</v>
      </c>
      <c r="E335" s="59" t="s">
        <v>201</v>
      </c>
      <c r="F335" s="71" t="s">
        <v>394</v>
      </c>
      <c r="G335" s="31">
        <v>1000</v>
      </c>
      <c r="H335" s="31">
        <v>1000</v>
      </c>
      <c r="I335" s="31">
        <v>0</v>
      </c>
      <c r="J335" s="31">
        <v>0</v>
      </c>
      <c r="K335" s="2"/>
    </row>
    <row r="336" spans="1:11" ht="25.5">
      <c r="A336" s="8">
        <v>16</v>
      </c>
      <c r="B336" s="8" t="s">
        <v>99</v>
      </c>
      <c r="C336" s="8" t="s">
        <v>552</v>
      </c>
      <c r="D336" s="137">
        <v>39211</v>
      </c>
      <c r="E336" s="59" t="s">
        <v>201</v>
      </c>
      <c r="F336" s="71" t="s">
        <v>394</v>
      </c>
      <c r="G336" s="31">
        <v>15000</v>
      </c>
      <c r="H336" s="31">
        <v>15000</v>
      </c>
      <c r="I336" s="31">
        <v>0</v>
      </c>
      <c r="J336" s="31">
        <v>0</v>
      </c>
      <c r="K336" s="2"/>
    </row>
    <row r="337" spans="1:11" ht="25.5">
      <c r="A337" s="8">
        <v>17</v>
      </c>
      <c r="B337" s="8" t="s">
        <v>127</v>
      </c>
      <c r="C337" s="8" t="s">
        <v>553</v>
      </c>
      <c r="D337" s="137">
        <v>39215</v>
      </c>
      <c r="E337" s="59" t="s">
        <v>201</v>
      </c>
      <c r="F337" s="71" t="s">
        <v>394</v>
      </c>
      <c r="G337" s="31">
        <v>10000</v>
      </c>
      <c r="H337" s="31">
        <v>10000</v>
      </c>
      <c r="I337" s="31">
        <v>0</v>
      </c>
      <c r="J337" s="31">
        <v>0</v>
      </c>
      <c r="K337" s="2"/>
    </row>
    <row r="338" spans="1:11" ht="25.5">
      <c r="A338" s="8">
        <v>18</v>
      </c>
      <c r="B338" s="8" t="s">
        <v>128</v>
      </c>
      <c r="C338" s="8" t="s">
        <v>1032</v>
      </c>
      <c r="D338" s="137">
        <v>39215</v>
      </c>
      <c r="E338" s="59" t="s">
        <v>201</v>
      </c>
      <c r="F338" s="71" t="s">
        <v>394</v>
      </c>
      <c r="G338" s="31">
        <v>5000</v>
      </c>
      <c r="H338" s="31">
        <v>5000</v>
      </c>
      <c r="I338" s="31">
        <v>0</v>
      </c>
      <c r="J338" s="31">
        <v>0</v>
      </c>
      <c r="K338" s="2"/>
    </row>
    <row r="339" spans="1:11" ht="25.5">
      <c r="A339" s="8">
        <v>19</v>
      </c>
      <c r="B339" s="8" t="s">
        <v>129</v>
      </c>
      <c r="C339" s="8" t="s">
        <v>509</v>
      </c>
      <c r="D339" s="8" t="s">
        <v>744</v>
      </c>
      <c r="E339" s="59" t="s">
        <v>201</v>
      </c>
      <c r="F339" s="71" t="s">
        <v>394</v>
      </c>
      <c r="G339" s="31">
        <v>1000</v>
      </c>
      <c r="H339" s="31">
        <v>1000</v>
      </c>
      <c r="I339" s="31">
        <v>0</v>
      </c>
      <c r="J339" s="31">
        <v>0</v>
      </c>
      <c r="K339" s="2"/>
    </row>
    <row r="340" spans="1:11" ht="25.5">
      <c r="A340" s="8">
        <v>20</v>
      </c>
      <c r="B340" s="8" t="s">
        <v>130</v>
      </c>
      <c r="C340" s="8" t="s">
        <v>554</v>
      </c>
      <c r="D340" s="8" t="s">
        <v>745</v>
      </c>
      <c r="E340" s="59" t="s">
        <v>201</v>
      </c>
      <c r="F340" s="71" t="s">
        <v>394</v>
      </c>
      <c r="G340" s="31">
        <v>3000</v>
      </c>
      <c r="H340" s="31">
        <v>0</v>
      </c>
      <c r="I340" s="31">
        <v>0</v>
      </c>
      <c r="J340" s="31">
        <v>0</v>
      </c>
      <c r="K340" s="2"/>
    </row>
    <row r="341" spans="1:11" ht="38.25">
      <c r="A341" s="8">
        <v>21</v>
      </c>
      <c r="B341" s="8" t="s">
        <v>131</v>
      </c>
      <c r="C341" s="8" t="s">
        <v>555</v>
      </c>
      <c r="D341" s="8" t="s">
        <v>746</v>
      </c>
      <c r="E341" s="59" t="s">
        <v>201</v>
      </c>
      <c r="F341" s="71" t="s">
        <v>394</v>
      </c>
      <c r="G341" s="31">
        <v>4000</v>
      </c>
      <c r="H341" s="31">
        <v>4000</v>
      </c>
      <c r="I341" s="31">
        <v>0</v>
      </c>
      <c r="J341" s="31">
        <v>0</v>
      </c>
      <c r="K341" s="2"/>
    </row>
    <row r="342" spans="1:11" ht="25.5">
      <c r="A342" s="8">
        <v>22</v>
      </c>
      <c r="B342" s="8" t="s">
        <v>100</v>
      </c>
      <c r="C342" s="8" t="s">
        <v>303</v>
      </c>
      <c r="D342" s="8" t="s">
        <v>747</v>
      </c>
      <c r="E342" s="59" t="s">
        <v>201</v>
      </c>
      <c r="F342" s="71" t="s">
        <v>394</v>
      </c>
      <c r="G342" s="31">
        <v>5000</v>
      </c>
      <c r="H342" s="31">
        <v>5000</v>
      </c>
      <c r="I342" s="31">
        <v>0</v>
      </c>
      <c r="J342" s="31">
        <v>0</v>
      </c>
      <c r="K342" s="2"/>
    </row>
    <row r="343" spans="1:11" ht="25.5">
      <c r="A343" s="8">
        <v>23</v>
      </c>
      <c r="B343" s="8" t="s">
        <v>101</v>
      </c>
      <c r="C343" s="8" t="s">
        <v>506</v>
      </c>
      <c r="D343" s="8" t="s">
        <v>748</v>
      </c>
      <c r="E343" s="59" t="s">
        <v>201</v>
      </c>
      <c r="F343" s="71" t="s">
        <v>394</v>
      </c>
      <c r="G343" s="31">
        <v>4000</v>
      </c>
      <c r="H343" s="31">
        <v>4000</v>
      </c>
      <c r="I343" s="31">
        <v>0</v>
      </c>
      <c r="J343" s="31">
        <v>0</v>
      </c>
      <c r="K343" s="2"/>
    </row>
    <row r="344" spans="1:11" ht="25.5">
      <c r="A344" s="8">
        <v>24</v>
      </c>
      <c r="B344" s="8" t="s">
        <v>132</v>
      </c>
      <c r="C344" s="8" t="s">
        <v>556</v>
      </c>
      <c r="D344" s="137">
        <v>39340</v>
      </c>
      <c r="E344" s="59" t="s">
        <v>201</v>
      </c>
      <c r="F344" s="71" t="s">
        <v>394</v>
      </c>
      <c r="G344" s="31">
        <v>3000</v>
      </c>
      <c r="H344" s="31">
        <v>3000</v>
      </c>
      <c r="I344" s="31">
        <v>0</v>
      </c>
      <c r="J344" s="31">
        <v>0</v>
      </c>
      <c r="K344" s="2"/>
    </row>
    <row r="345" spans="1:11" ht="25.5">
      <c r="A345" s="8">
        <v>25</v>
      </c>
      <c r="B345" s="8" t="s">
        <v>102</v>
      </c>
      <c r="C345" s="8" t="s">
        <v>557</v>
      </c>
      <c r="D345" s="137">
        <v>39355</v>
      </c>
      <c r="E345" s="59" t="s">
        <v>201</v>
      </c>
      <c r="F345" s="71" t="s">
        <v>394</v>
      </c>
      <c r="G345" s="31">
        <v>4000</v>
      </c>
      <c r="H345" s="31">
        <v>4000</v>
      </c>
      <c r="I345" s="31">
        <v>0</v>
      </c>
      <c r="J345" s="31">
        <v>0</v>
      </c>
      <c r="K345" s="2"/>
    </row>
    <row r="346" spans="1:11" ht="25.5">
      <c r="A346" s="8">
        <v>26</v>
      </c>
      <c r="B346" s="8" t="s">
        <v>103</v>
      </c>
      <c r="C346" s="8" t="s">
        <v>475</v>
      </c>
      <c r="D346" s="8" t="s">
        <v>266</v>
      </c>
      <c r="E346" s="59" t="s">
        <v>201</v>
      </c>
      <c r="F346" s="71" t="s">
        <v>394</v>
      </c>
      <c r="G346" s="31">
        <v>2000</v>
      </c>
      <c r="H346" s="31">
        <v>2000</v>
      </c>
      <c r="I346" s="31">
        <v>0</v>
      </c>
      <c r="J346" s="31">
        <v>0</v>
      </c>
      <c r="K346" s="2"/>
    </row>
    <row r="347" spans="1:11" ht="38.25">
      <c r="A347" s="8">
        <v>27</v>
      </c>
      <c r="B347" s="8" t="s">
        <v>104</v>
      </c>
      <c r="C347" s="8" t="s">
        <v>558</v>
      </c>
      <c r="D347" s="8" t="s">
        <v>749</v>
      </c>
      <c r="E347" s="59" t="s">
        <v>201</v>
      </c>
      <c r="F347" s="71" t="s">
        <v>394</v>
      </c>
      <c r="G347" s="31">
        <v>2500</v>
      </c>
      <c r="H347" s="31">
        <v>2500</v>
      </c>
      <c r="I347" s="31">
        <v>0</v>
      </c>
      <c r="J347" s="31">
        <v>0</v>
      </c>
      <c r="K347" s="2"/>
    </row>
    <row r="348" spans="1:11" ht="25.5">
      <c r="A348" s="8">
        <v>28</v>
      </c>
      <c r="B348" s="8" t="s">
        <v>105</v>
      </c>
      <c r="C348" s="8" t="s">
        <v>559</v>
      </c>
      <c r="D348" s="8" t="s">
        <v>750</v>
      </c>
      <c r="E348" s="59" t="s">
        <v>201</v>
      </c>
      <c r="F348" s="71" t="s">
        <v>394</v>
      </c>
      <c r="G348" s="31">
        <v>6000</v>
      </c>
      <c r="H348" s="31">
        <v>6000</v>
      </c>
      <c r="I348" s="31">
        <v>0</v>
      </c>
      <c r="J348" s="31">
        <v>0</v>
      </c>
      <c r="K348" s="2"/>
    </row>
    <row r="349" spans="1:11" ht="25.5">
      <c r="A349" s="8">
        <v>29</v>
      </c>
      <c r="B349" s="8" t="s">
        <v>192</v>
      </c>
      <c r="C349" s="8" t="s">
        <v>564</v>
      </c>
      <c r="D349" s="8" t="s">
        <v>751</v>
      </c>
      <c r="E349" s="59" t="s">
        <v>201</v>
      </c>
      <c r="F349" s="71" t="s">
        <v>394</v>
      </c>
      <c r="G349" s="31">
        <v>2000</v>
      </c>
      <c r="H349" s="31">
        <v>1986.24</v>
      </c>
      <c r="I349" s="31">
        <v>0</v>
      </c>
      <c r="J349" s="31">
        <v>0</v>
      </c>
      <c r="K349" s="2"/>
    </row>
    <row r="350" spans="1:11" ht="25.5">
      <c r="A350" s="8">
        <v>30</v>
      </c>
      <c r="B350" s="8" t="s">
        <v>106</v>
      </c>
      <c r="C350" s="8" t="s">
        <v>560</v>
      </c>
      <c r="D350" s="137">
        <v>39415</v>
      </c>
      <c r="E350" s="59" t="s">
        <v>201</v>
      </c>
      <c r="F350" s="71" t="s">
        <v>394</v>
      </c>
      <c r="G350" s="31">
        <v>5000</v>
      </c>
      <c r="H350" s="31">
        <v>4997.23</v>
      </c>
      <c r="I350" s="31">
        <v>0</v>
      </c>
      <c r="J350" s="31">
        <v>0</v>
      </c>
      <c r="K350" s="2"/>
    </row>
    <row r="351" spans="1:11" ht="25.5">
      <c r="A351" s="8">
        <v>31</v>
      </c>
      <c r="B351" s="8" t="s">
        <v>631</v>
      </c>
      <c r="C351" s="8" t="s">
        <v>561</v>
      </c>
      <c r="D351" s="8" t="s">
        <v>270</v>
      </c>
      <c r="E351" s="59" t="s">
        <v>201</v>
      </c>
      <c r="F351" s="71" t="s">
        <v>394</v>
      </c>
      <c r="G351" s="31">
        <v>8000</v>
      </c>
      <c r="H351" s="31">
        <v>8000</v>
      </c>
      <c r="I351" s="31">
        <v>0</v>
      </c>
      <c r="J351" s="31">
        <v>0</v>
      </c>
      <c r="K351" s="2"/>
    </row>
    <row r="352" spans="1:11" ht="25.5">
      <c r="A352" s="8">
        <v>32</v>
      </c>
      <c r="B352" s="8" t="s">
        <v>632</v>
      </c>
      <c r="C352" s="8" t="s">
        <v>413</v>
      </c>
      <c r="D352" s="8" t="s">
        <v>270</v>
      </c>
      <c r="E352" s="59" t="s">
        <v>201</v>
      </c>
      <c r="F352" s="71" t="s">
        <v>394</v>
      </c>
      <c r="G352" s="31">
        <v>2000</v>
      </c>
      <c r="H352" s="31">
        <v>2000</v>
      </c>
      <c r="I352" s="31">
        <v>0</v>
      </c>
      <c r="J352" s="31">
        <v>0</v>
      </c>
      <c r="K352" s="2"/>
    </row>
    <row r="353" spans="1:11" ht="25.5">
      <c r="A353" s="8">
        <v>33</v>
      </c>
      <c r="B353" s="8" t="s">
        <v>633</v>
      </c>
      <c r="C353" s="8" t="s">
        <v>562</v>
      </c>
      <c r="D353" s="8" t="s">
        <v>270</v>
      </c>
      <c r="E353" s="59" t="s">
        <v>201</v>
      </c>
      <c r="F353" s="71" t="s">
        <v>394</v>
      </c>
      <c r="G353" s="31">
        <v>1500</v>
      </c>
      <c r="H353" s="31">
        <v>1500</v>
      </c>
      <c r="I353" s="31">
        <v>0</v>
      </c>
      <c r="J353" s="31">
        <v>0</v>
      </c>
      <c r="K353" s="2"/>
    </row>
    <row r="354" spans="1:11" ht="24">
      <c r="A354" s="352"/>
      <c r="B354" s="352"/>
      <c r="C354" s="352"/>
      <c r="D354" s="67" t="s">
        <v>384</v>
      </c>
      <c r="E354" s="14" t="s">
        <v>201</v>
      </c>
      <c r="F354" s="15" t="s">
        <v>394</v>
      </c>
      <c r="G354" s="68">
        <f>SUM(G321:G353)</f>
        <v>140000</v>
      </c>
      <c r="H354" s="68">
        <f>SUM(H321:H353)</f>
        <v>132978.69</v>
      </c>
      <c r="I354" s="68">
        <f>SUM(I321:I353)</f>
        <v>0</v>
      </c>
      <c r="J354" s="68">
        <f>SUM(J321:J353)</f>
        <v>0</v>
      </c>
      <c r="K354" s="2"/>
    </row>
    <row r="355" spans="1:11" ht="24">
      <c r="A355" s="352"/>
      <c r="B355" s="352"/>
      <c r="C355" s="352"/>
      <c r="D355" s="69" t="s">
        <v>565</v>
      </c>
      <c r="E355" s="75"/>
      <c r="F355" s="99" t="s">
        <v>394</v>
      </c>
      <c r="G355" s="91">
        <f>G320+G309+G251+G246+G231</f>
        <v>1276828</v>
      </c>
      <c r="H355" s="91">
        <f>H320+H309+H251+H246+H231</f>
        <v>1265027.48</v>
      </c>
      <c r="I355" s="91">
        <f>I320+I309+I251+I246+I231</f>
        <v>0</v>
      </c>
      <c r="J355" s="91">
        <f>J320+J309+J251+J246+J231</f>
        <v>0</v>
      </c>
      <c r="K355" s="88"/>
    </row>
    <row r="356" spans="1:11" s="2" customFormat="1" ht="12.75">
      <c r="A356" s="365" t="s">
        <v>225</v>
      </c>
      <c r="B356" s="371"/>
      <c r="C356" s="371"/>
      <c r="D356" s="371"/>
      <c r="E356" s="371"/>
      <c r="F356" s="371"/>
      <c r="G356" s="371"/>
      <c r="H356" s="371"/>
      <c r="I356" s="94"/>
      <c r="J356" s="94"/>
      <c r="K356" s="106"/>
    </row>
    <row r="357" spans="1:11" s="2" customFormat="1" ht="24">
      <c r="A357" s="4" t="s">
        <v>365</v>
      </c>
      <c r="B357" s="353" t="s">
        <v>226</v>
      </c>
      <c r="C357" s="352"/>
      <c r="D357" s="90"/>
      <c r="E357" s="74"/>
      <c r="F357" s="5" t="s">
        <v>394</v>
      </c>
      <c r="G357" s="34">
        <f>G359+G434</f>
        <v>0</v>
      </c>
      <c r="H357" s="34">
        <f>H359+H434</f>
        <v>0</v>
      </c>
      <c r="I357" s="34">
        <f>I359+I434</f>
        <v>3792005</v>
      </c>
      <c r="J357" s="34">
        <f>J359+J434</f>
        <v>3751560.9099999997</v>
      </c>
      <c r="K357" s="106"/>
    </row>
    <row r="358" spans="1:10" s="79" customFormat="1" ht="38.25">
      <c r="A358" s="24">
        <v>1</v>
      </c>
      <c r="B358" s="8" t="s">
        <v>227</v>
      </c>
      <c r="C358" s="8" t="s">
        <v>303</v>
      </c>
      <c r="D358" s="8" t="s">
        <v>228</v>
      </c>
      <c r="E358" s="59" t="s">
        <v>229</v>
      </c>
      <c r="F358" s="71" t="s">
        <v>394</v>
      </c>
      <c r="G358" s="31">
        <v>0</v>
      </c>
      <c r="H358" s="31">
        <v>0</v>
      </c>
      <c r="I358" s="31">
        <v>8150</v>
      </c>
      <c r="J358" s="31">
        <v>7614.86</v>
      </c>
    </row>
    <row r="359" spans="1:11" s="32" customFormat="1" ht="24">
      <c r="A359" s="355"/>
      <c r="B359" s="355"/>
      <c r="C359" s="355"/>
      <c r="D359" s="14" t="s">
        <v>384</v>
      </c>
      <c r="E359" s="14" t="s">
        <v>230</v>
      </c>
      <c r="F359" s="15" t="s">
        <v>394</v>
      </c>
      <c r="G359" s="27">
        <f>SUM(G358)</f>
        <v>0</v>
      </c>
      <c r="H359" s="27">
        <f>SUM(H358)</f>
        <v>0</v>
      </c>
      <c r="I359" s="27">
        <f>SUM(I358)</f>
        <v>8150</v>
      </c>
      <c r="J359" s="27">
        <f>SUM(J358)</f>
        <v>7614.86</v>
      </c>
      <c r="K359" s="110"/>
    </row>
    <row r="360" spans="1:20" s="79" customFormat="1" ht="38.25">
      <c r="A360" s="24">
        <v>2</v>
      </c>
      <c r="B360" s="8" t="s">
        <v>227</v>
      </c>
      <c r="C360" s="8" t="s">
        <v>934</v>
      </c>
      <c r="D360" s="8" t="s">
        <v>228</v>
      </c>
      <c r="E360" s="59" t="s">
        <v>231</v>
      </c>
      <c r="F360" s="71" t="s">
        <v>394</v>
      </c>
      <c r="G360" s="31">
        <v>0</v>
      </c>
      <c r="H360" s="31">
        <v>0</v>
      </c>
      <c r="I360" s="31">
        <v>9200</v>
      </c>
      <c r="J360" s="31">
        <v>9200</v>
      </c>
      <c r="K360" s="80"/>
      <c r="L360" s="80"/>
      <c r="M360" s="80"/>
      <c r="N360" s="80"/>
      <c r="O360" s="80"/>
      <c r="P360" s="80"/>
      <c r="Q360" s="80"/>
      <c r="R360" s="81"/>
      <c r="S360" s="81"/>
      <c r="T360" s="81"/>
    </row>
    <row r="361" spans="1:20" s="79" customFormat="1" ht="38.25">
      <c r="A361" s="24">
        <v>3</v>
      </c>
      <c r="B361" s="8" t="s">
        <v>227</v>
      </c>
      <c r="C361" s="8" t="s">
        <v>935</v>
      </c>
      <c r="D361" s="8" t="s">
        <v>228</v>
      </c>
      <c r="E361" s="59" t="s">
        <v>231</v>
      </c>
      <c r="F361" s="71" t="s">
        <v>394</v>
      </c>
      <c r="G361" s="31">
        <v>0</v>
      </c>
      <c r="H361" s="31">
        <v>0</v>
      </c>
      <c r="I361" s="31">
        <v>12180</v>
      </c>
      <c r="J361" s="31">
        <v>12180</v>
      </c>
      <c r="K361" s="80"/>
      <c r="L361" s="80"/>
      <c r="M361" s="80"/>
      <c r="N361" s="80"/>
      <c r="O361" s="80"/>
      <c r="P361" s="80"/>
      <c r="Q361" s="80"/>
      <c r="R361" s="81"/>
      <c r="S361" s="81"/>
      <c r="T361" s="81"/>
    </row>
    <row r="362" spans="1:20" s="79" customFormat="1" ht="38.25">
      <c r="A362" s="24">
        <v>4</v>
      </c>
      <c r="B362" s="8" t="s">
        <v>227</v>
      </c>
      <c r="C362" s="8" t="s">
        <v>936</v>
      </c>
      <c r="D362" s="8" t="s">
        <v>228</v>
      </c>
      <c r="E362" s="59" t="s">
        <v>231</v>
      </c>
      <c r="F362" s="71" t="s">
        <v>394</v>
      </c>
      <c r="G362" s="31">
        <v>0</v>
      </c>
      <c r="H362" s="31">
        <v>0</v>
      </c>
      <c r="I362" s="31">
        <v>2000</v>
      </c>
      <c r="J362" s="31">
        <v>2000</v>
      </c>
      <c r="K362" s="80"/>
      <c r="L362" s="80"/>
      <c r="M362" s="80"/>
      <c r="N362" s="80"/>
      <c r="O362" s="80"/>
      <c r="P362" s="80"/>
      <c r="Q362" s="80"/>
      <c r="R362" s="81"/>
      <c r="S362" s="81"/>
      <c r="T362" s="81"/>
    </row>
    <row r="363" spans="1:20" s="79" customFormat="1" ht="38.25">
      <c r="A363" s="24">
        <v>5</v>
      </c>
      <c r="B363" s="8" t="s">
        <v>227</v>
      </c>
      <c r="C363" s="8" t="s">
        <v>937</v>
      </c>
      <c r="D363" s="8" t="s">
        <v>228</v>
      </c>
      <c r="E363" s="59" t="s">
        <v>231</v>
      </c>
      <c r="F363" s="71" t="s">
        <v>394</v>
      </c>
      <c r="G363" s="31">
        <v>0</v>
      </c>
      <c r="H363" s="31">
        <v>0</v>
      </c>
      <c r="I363" s="31">
        <v>1295</v>
      </c>
      <c r="J363" s="31">
        <v>1295</v>
      </c>
      <c r="K363" s="80"/>
      <c r="L363" s="80"/>
      <c r="M363" s="80"/>
      <c r="N363" s="80"/>
      <c r="O363" s="80"/>
      <c r="P363" s="80"/>
      <c r="Q363" s="80"/>
      <c r="R363" s="81"/>
      <c r="S363" s="81"/>
      <c r="T363" s="81"/>
    </row>
    <row r="364" spans="1:20" s="79" customFormat="1" ht="38.25">
      <c r="A364" s="24">
        <v>6</v>
      </c>
      <c r="B364" s="8" t="s">
        <v>227</v>
      </c>
      <c r="C364" s="8" t="s">
        <v>938</v>
      </c>
      <c r="D364" s="8" t="s">
        <v>228</v>
      </c>
      <c r="E364" s="59" t="s">
        <v>231</v>
      </c>
      <c r="F364" s="71" t="s">
        <v>394</v>
      </c>
      <c r="G364" s="31">
        <v>0</v>
      </c>
      <c r="H364" s="31">
        <v>0</v>
      </c>
      <c r="I364" s="31">
        <v>57475</v>
      </c>
      <c r="J364" s="31">
        <v>57475</v>
      </c>
      <c r="K364" s="80"/>
      <c r="L364" s="80"/>
      <c r="M364" s="80"/>
      <c r="N364" s="80"/>
      <c r="O364" s="80"/>
      <c r="P364" s="80"/>
      <c r="Q364" s="80"/>
      <c r="R364" s="81"/>
      <c r="S364" s="81"/>
      <c r="T364" s="81"/>
    </row>
    <row r="365" spans="1:20" s="79" customFormat="1" ht="38.25">
      <c r="A365" s="24">
        <v>7</v>
      </c>
      <c r="B365" s="8" t="s">
        <v>227</v>
      </c>
      <c r="C365" s="8" t="s">
        <v>939</v>
      </c>
      <c r="D365" s="8" t="s">
        <v>228</v>
      </c>
      <c r="E365" s="59" t="s">
        <v>231</v>
      </c>
      <c r="F365" s="71" t="s">
        <v>394</v>
      </c>
      <c r="G365" s="31">
        <v>0</v>
      </c>
      <c r="H365" s="31">
        <v>0</v>
      </c>
      <c r="I365" s="31">
        <v>11960</v>
      </c>
      <c r="J365" s="31">
        <v>11930</v>
      </c>
      <c r="K365" s="80"/>
      <c r="L365" s="80"/>
      <c r="M365" s="80"/>
      <c r="N365" s="80"/>
      <c r="O365" s="80"/>
      <c r="P365" s="80"/>
      <c r="Q365" s="80"/>
      <c r="R365" s="81"/>
      <c r="S365" s="81"/>
      <c r="T365" s="81"/>
    </row>
    <row r="366" spans="1:20" s="79" customFormat="1" ht="38.25">
      <c r="A366" s="24">
        <v>8</v>
      </c>
      <c r="B366" s="8" t="s">
        <v>227</v>
      </c>
      <c r="C366" s="8" t="s">
        <v>940</v>
      </c>
      <c r="D366" s="8" t="s">
        <v>228</v>
      </c>
      <c r="E366" s="59" t="s">
        <v>231</v>
      </c>
      <c r="F366" s="71" t="s">
        <v>394</v>
      </c>
      <c r="G366" s="31">
        <v>0</v>
      </c>
      <c r="H366" s="31">
        <v>0</v>
      </c>
      <c r="I366" s="31">
        <v>11340</v>
      </c>
      <c r="J366" s="31">
        <v>11340</v>
      </c>
      <c r="K366" s="80"/>
      <c r="L366" s="80"/>
      <c r="M366" s="80"/>
      <c r="N366" s="80"/>
      <c r="O366" s="80"/>
      <c r="P366" s="80"/>
      <c r="Q366" s="80"/>
      <c r="R366" s="81"/>
      <c r="S366" s="81"/>
      <c r="T366" s="81"/>
    </row>
    <row r="367" spans="1:20" s="79" customFormat="1" ht="38.25">
      <c r="A367" s="24">
        <v>9</v>
      </c>
      <c r="B367" s="8" t="s">
        <v>227</v>
      </c>
      <c r="C367" s="8" t="s">
        <v>941</v>
      </c>
      <c r="D367" s="8" t="s">
        <v>228</v>
      </c>
      <c r="E367" s="59" t="s">
        <v>231</v>
      </c>
      <c r="F367" s="71" t="s">
        <v>394</v>
      </c>
      <c r="G367" s="31">
        <v>0</v>
      </c>
      <c r="H367" s="31">
        <v>0</v>
      </c>
      <c r="I367" s="31">
        <v>45665</v>
      </c>
      <c r="J367" s="31">
        <v>45665</v>
      </c>
      <c r="K367" s="80"/>
      <c r="L367" s="80"/>
      <c r="M367" s="80"/>
      <c r="N367" s="80"/>
      <c r="O367" s="80"/>
      <c r="P367" s="80"/>
      <c r="Q367" s="80"/>
      <c r="R367" s="81"/>
      <c r="S367" s="81"/>
      <c r="T367" s="81"/>
    </row>
    <row r="368" spans="1:20" s="79" customFormat="1" ht="38.25">
      <c r="A368" s="24">
        <v>10</v>
      </c>
      <c r="B368" s="8" t="s">
        <v>227</v>
      </c>
      <c r="C368" s="8" t="s">
        <v>942</v>
      </c>
      <c r="D368" s="8" t="s">
        <v>228</v>
      </c>
      <c r="E368" s="59" t="s">
        <v>231</v>
      </c>
      <c r="F368" s="71" t="s">
        <v>394</v>
      </c>
      <c r="G368" s="31">
        <v>0</v>
      </c>
      <c r="H368" s="31">
        <v>0</v>
      </c>
      <c r="I368" s="31">
        <v>13700</v>
      </c>
      <c r="J368" s="31">
        <v>0</v>
      </c>
      <c r="K368" s="80"/>
      <c r="L368" s="80"/>
      <c r="M368" s="80"/>
      <c r="N368" s="80"/>
      <c r="O368" s="80"/>
      <c r="P368" s="80"/>
      <c r="Q368" s="80"/>
      <c r="R368" s="81"/>
      <c r="S368" s="81"/>
      <c r="T368" s="81"/>
    </row>
    <row r="369" spans="1:20" s="79" customFormat="1" ht="38.25">
      <c r="A369" s="24">
        <v>11</v>
      </c>
      <c r="B369" s="8" t="s">
        <v>227</v>
      </c>
      <c r="C369" s="8" t="s">
        <v>943</v>
      </c>
      <c r="D369" s="8" t="s">
        <v>228</v>
      </c>
      <c r="E369" s="59" t="s">
        <v>231</v>
      </c>
      <c r="F369" s="71" t="s">
        <v>394</v>
      </c>
      <c r="G369" s="31">
        <v>0</v>
      </c>
      <c r="H369" s="31">
        <v>0</v>
      </c>
      <c r="I369" s="31">
        <v>15000</v>
      </c>
      <c r="J369" s="31">
        <v>15000</v>
      </c>
      <c r="K369" s="80"/>
      <c r="L369" s="80"/>
      <c r="M369" s="80"/>
      <c r="N369" s="80"/>
      <c r="O369" s="80"/>
      <c r="P369" s="80"/>
      <c r="Q369" s="80"/>
      <c r="R369" s="81"/>
      <c r="S369" s="81"/>
      <c r="T369" s="81"/>
    </row>
    <row r="370" spans="1:20" s="79" customFormat="1" ht="38.25">
      <c r="A370" s="24">
        <v>12</v>
      </c>
      <c r="B370" s="8" t="s">
        <v>227</v>
      </c>
      <c r="C370" s="8" t="s">
        <v>944</v>
      </c>
      <c r="D370" s="8" t="s">
        <v>228</v>
      </c>
      <c r="E370" s="59" t="s">
        <v>231</v>
      </c>
      <c r="F370" s="71" t="s">
        <v>394</v>
      </c>
      <c r="G370" s="31">
        <v>0</v>
      </c>
      <c r="H370" s="31">
        <v>0</v>
      </c>
      <c r="I370" s="31">
        <v>60046</v>
      </c>
      <c r="J370" s="31">
        <v>60046</v>
      </c>
      <c r="K370" s="80"/>
      <c r="L370" s="80"/>
      <c r="M370" s="80"/>
      <c r="N370" s="80"/>
      <c r="O370" s="80"/>
      <c r="P370" s="80"/>
      <c r="Q370" s="80"/>
      <c r="R370" s="81"/>
      <c r="S370" s="81"/>
      <c r="T370" s="81"/>
    </row>
    <row r="371" spans="1:20" s="79" customFormat="1" ht="38.25">
      <c r="A371" s="24">
        <v>13</v>
      </c>
      <c r="B371" s="8" t="s">
        <v>227</v>
      </c>
      <c r="C371" s="8" t="s">
        <v>945</v>
      </c>
      <c r="D371" s="8" t="s">
        <v>228</v>
      </c>
      <c r="E371" s="59" t="s">
        <v>231</v>
      </c>
      <c r="F371" s="71" t="s">
        <v>394</v>
      </c>
      <c r="G371" s="31">
        <v>0</v>
      </c>
      <c r="H371" s="31">
        <v>0</v>
      </c>
      <c r="I371" s="31">
        <v>9300</v>
      </c>
      <c r="J371" s="31">
        <v>8944.33</v>
      </c>
      <c r="K371" s="80"/>
      <c r="L371" s="80"/>
      <c r="M371" s="80"/>
      <c r="N371" s="80"/>
      <c r="O371" s="80"/>
      <c r="P371" s="80"/>
      <c r="Q371" s="80"/>
      <c r="R371" s="81"/>
      <c r="S371" s="81"/>
      <c r="T371" s="81"/>
    </row>
    <row r="372" spans="1:20" s="79" customFormat="1" ht="38.25">
      <c r="A372" s="24">
        <v>14</v>
      </c>
      <c r="B372" s="8" t="s">
        <v>227</v>
      </c>
      <c r="C372" s="8" t="s">
        <v>946</v>
      </c>
      <c r="D372" s="8" t="s">
        <v>228</v>
      </c>
      <c r="E372" s="59" t="s">
        <v>231</v>
      </c>
      <c r="F372" s="71" t="s">
        <v>394</v>
      </c>
      <c r="G372" s="31">
        <v>0</v>
      </c>
      <c r="H372" s="31">
        <v>0</v>
      </c>
      <c r="I372" s="31">
        <v>35983</v>
      </c>
      <c r="J372" s="31">
        <v>35983</v>
      </c>
      <c r="K372" s="80"/>
      <c r="L372" s="80"/>
      <c r="M372" s="80"/>
      <c r="N372" s="80"/>
      <c r="O372" s="80"/>
      <c r="P372" s="80"/>
      <c r="Q372" s="80"/>
      <c r="R372" s="81"/>
      <c r="S372" s="81"/>
      <c r="T372" s="81"/>
    </row>
    <row r="373" spans="1:20" s="79" customFormat="1" ht="38.25">
      <c r="A373" s="24">
        <v>15</v>
      </c>
      <c r="B373" s="8" t="s">
        <v>227</v>
      </c>
      <c r="C373" s="8" t="s">
        <v>947</v>
      </c>
      <c r="D373" s="8" t="s">
        <v>228</v>
      </c>
      <c r="E373" s="59" t="s">
        <v>231</v>
      </c>
      <c r="F373" s="71" t="s">
        <v>394</v>
      </c>
      <c r="G373" s="31">
        <v>0</v>
      </c>
      <c r="H373" s="31">
        <v>0</v>
      </c>
      <c r="I373" s="31">
        <v>35600</v>
      </c>
      <c r="J373" s="31">
        <v>35600</v>
      </c>
      <c r="K373" s="80"/>
      <c r="L373" s="80"/>
      <c r="M373" s="80"/>
      <c r="N373" s="80"/>
      <c r="O373" s="80"/>
      <c r="P373" s="80"/>
      <c r="Q373" s="80"/>
      <c r="R373" s="81"/>
      <c r="S373" s="81"/>
      <c r="T373" s="81"/>
    </row>
    <row r="374" spans="1:20" s="79" customFormat="1" ht="38.25">
      <c r="A374" s="24">
        <v>16</v>
      </c>
      <c r="B374" s="8" t="s">
        <v>227</v>
      </c>
      <c r="C374" s="8" t="s">
        <v>948</v>
      </c>
      <c r="D374" s="8" t="s">
        <v>228</v>
      </c>
      <c r="E374" s="59" t="s">
        <v>231</v>
      </c>
      <c r="F374" s="71" t="s">
        <v>394</v>
      </c>
      <c r="G374" s="31">
        <v>0</v>
      </c>
      <c r="H374" s="31">
        <v>0</v>
      </c>
      <c r="I374" s="31">
        <v>22100</v>
      </c>
      <c r="J374" s="31">
        <v>22100</v>
      </c>
      <c r="K374" s="80"/>
      <c r="L374" s="80"/>
      <c r="M374" s="80"/>
      <c r="N374" s="80"/>
      <c r="O374" s="80"/>
      <c r="P374" s="80"/>
      <c r="Q374" s="80"/>
      <c r="R374" s="81"/>
      <c r="S374" s="81"/>
      <c r="T374" s="81"/>
    </row>
    <row r="375" spans="1:20" s="79" customFormat="1" ht="38.25">
      <c r="A375" s="24">
        <v>17</v>
      </c>
      <c r="B375" s="8" t="s">
        <v>227</v>
      </c>
      <c r="C375" s="8" t="s">
        <v>949</v>
      </c>
      <c r="D375" s="8" t="s">
        <v>228</v>
      </c>
      <c r="E375" s="59" t="s">
        <v>231</v>
      </c>
      <c r="F375" s="71" t="s">
        <v>394</v>
      </c>
      <c r="G375" s="31">
        <v>0</v>
      </c>
      <c r="H375" s="31">
        <v>0</v>
      </c>
      <c r="I375" s="31">
        <v>39660</v>
      </c>
      <c r="J375" s="31">
        <v>39589.6</v>
      </c>
      <c r="K375" s="80"/>
      <c r="L375" s="80"/>
      <c r="M375" s="80"/>
      <c r="N375" s="80"/>
      <c r="O375" s="80"/>
      <c r="P375" s="80"/>
      <c r="Q375" s="80"/>
      <c r="R375" s="81"/>
      <c r="S375" s="81"/>
      <c r="T375" s="81"/>
    </row>
    <row r="376" spans="1:20" s="79" customFormat="1" ht="38.25">
      <c r="A376" s="24">
        <v>18</v>
      </c>
      <c r="B376" s="8" t="s">
        <v>227</v>
      </c>
      <c r="C376" s="8" t="s">
        <v>950</v>
      </c>
      <c r="D376" s="8" t="s">
        <v>228</v>
      </c>
      <c r="E376" s="59" t="s">
        <v>231</v>
      </c>
      <c r="F376" s="71" t="s">
        <v>394</v>
      </c>
      <c r="G376" s="31">
        <v>0</v>
      </c>
      <c r="H376" s="31">
        <v>0</v>
      </c>
      <c r="I376" s="31">
        <v>9200</v>
      </c>
      <c r="J376" s="31">
        <v>8923.39</v>
      </c>
      <c r="K376" s="80"/>
      <c r="L376" s="80"/>
      <c r="M376" s="80"/>
      <c r="N376" s="80"/>
      <c r="O376" s="80"/>
      <c r="P376" s="80"/>
      <c r="Q376" s="80"/>
      <c r="R376" s="81"/>
      <c r="S376" s="81"/>
      <c r="T376" s="81"/>
    </row>
    <row r="377" spans="1:20" s="79" customFormat="1" ht="38.25">
      <c r="A377" s="24">
        <v>19</v>
      </c>
      <c r="B377" s="8" t="s">
        <v>227</v>
      </c>
      <c r="C377" s="8" t="s">
        <v>951</v>
      </c>
      <c r="D377" s="8" t="s">
        <v>228</v>
      </c>
      <c r="E377" s="59" t="s">
        <v>231</v>
      </c>
      <c r="F377" s="71" t="s">
        <v>394</v>
      </c>
      <c r="G377" s="31">
        <v>0</v>
      </c>
      <c r="H377" s="31">
        <v>0</v>
      </c>
      <c r="I377" s="31">
        <v>2150</v>
      </c>
      <c r="J377" s="31">
        <v>900</v>
      </c>
      <c r="K377" s="80"/>
      <c r="L377" s="80"/>
      <c r="M377" s="80"/>
      <c r="N377" s="80"/>
      <c r="O377" s="80"/>
      <c r="P377" s="80"/>
      <c r="Q377" s="80"/>
      <c r="R377" s="81"/>
      <c r="S377" s="81"/>
      <c r="T377" s="81"/>
    </row>
    <row r="378" spans="1:20" s="79" customFormat="1" ht="38.25">
      <c r="A378" s="24">
        <v>20</v>
      </c>
      <c r="B378" s="8" t="s">
        <v>227</v>
      </c>
      <c r="C378" s="8" t="s">
        <v>952</v>
      </c>
      <c r="D378" s="8" t="s">
        <v>228</v>
      </c>
      <c r="E378" s="59" t="s">
        <v>231</v>
      </c>
      <c r="F378" s="71" t="s">
        <v>394</v>
      </c>
      <c r="G378" s="31">
        <v>0</v>
      </c>
      <c r="H378" s="31">
        <v>0</v>
      </c>
      <c r="I378" s="31">
        <v>2000</v>
      </c>
      <c r="J378" s="31">
        <v>2000</v>
      </c>
      <c r="K378" s="80"/>
      <c r="L378" s="80"/>
      <c r="M378" s="80"/>
      <c r="N378" s="80"/>
      <c r="O378" s="80"/>
      <c r="P378" s="80"/>
      <c r="Q378" s="80"/>
      <c r="R378" s="81"/>
      <c r="S378" s="81"/>
      <c r="T378" s="81"/>
    </row>
    <row r="379" spans="1:20" s="79" customFormat="1" ht="38.25">
      <c r="A379" s="24">
        <v>21</v>
      </c>
      <c r="B379" s="8" t="s">
        <v>227</v>
      </c>
      <c r="C379" s="8" t="s">
        <v>953</v>
      </c>
      <c r="D379" s="8" t="s">
        <v>228</v>
      </c>
      <c r="E379" s="59" t="s">
        <v>231</v>
      </c>
      <c r="F379" s="71" t="s">
        <v>394</v>
      </c>
      <c r="G379" s="31">
        <v>0</v>
      </c>
      <c r="H379" s="31">
        <v>0</v>
      </c>
      <c r="I379" s="31">
        <v>28532</v>
      </c>
      <c r="J379" s="31">
        <v>28532</v>
      </c>
      <c r="K379" s="80"/>
      <c r="L379" s="80"/>
      <c r="M379" s="80"/>
      <c r="N379" s="80"/>
      <c r="O379" s="80"/>
      <c r="P379" s="80"/>
      <c r="Q379" s="80"/>
      <c r="R379" s="81"/>
      <c r="S379" s="81"/>
      <c r="T379" s="81"/>
    </row>
    <row r="380" spans="1:20" s="79" customFormat="1" ht="38.25">
      <c r="A380" s="24">
        <v>22</v>
      </c>
      <c r="B380" s="8" t="s">
        <v>227</v>
      </c>
      <c r="C380" s="8" t="s">
        <v>954</v>
      </c>
      <c r="D380" s="8" t="s">
        <v>228</v>
      </c>
      <c r="E380" s="59" t="s">
        <v>231</v>
      </c>
      <c r="F380" s="71" t="s">
        <v>394</v>
      </c>
      <c r="G380" s="31">
        <v>0</v>
      </c>
      <c r="H380" s="31">
        <v>0</v>
      </c>
      <c r="I380" s="31">
        <v>27500</v>
      </c>
      <c r="J380" s="31">
        <v>27500</v>
      </c>
      <c r="K380" s="80"/>
      <c r="L380" s="80"/>
      <c r="M380" s="80"/>
      <c r="N380" s="80"/>
      <c r="O380" s="80"/>
      <c r="P380" s="80"/>
      <c r="Q380" s="80"/>
      <c r="R380" s="81"/>
      <c r="S380" s="81"/>
      <c r="T380" s="81"/>
    </row>
    <row r="381" spans="1:20" s="79" customFormat="1" ht="38.25">
      <c r="A381" s="24">
        <v>23</v>
      </c>
      <c r="B381" s="8" t="s">
        <v>227</v>
      </c>
      <c r="C381" s="8" t="s">
        <v>955</v>
      </c>
      <c r="D381" s="8" t="s">
        <v>228</v>
      </c>
      <c r="E381" s="59" t="s">
        <v>231</v>
      </c>
      <c r="F381" s="71" t="s">
        <v>394</v>
      </c>
      <c r="G381" s="31">
        <v>0</v>
      </c>
      <c r="H381" s="31">
        <v>0</v>
      </c>
      <c r="I381" s="31">
        <v>76600</v>
      </c>
      <c r="J381" s="31">
        <v>76550</v>
      </c>
      <c r="K381" s="80"/>
      <c r="L381" s="80"/>
      <c r="M381" s="80"/>
      <c r="N381" s="80"/>
      <c r="O381" s="80"/>
      <c r="P381" s="80"/>
      <c r="Q381" s="80"/>
      <c r="R381" s="81"/>
      <c r="S381" s="81"/>
      <c r="T381" s="81"/>
    </row>
    <row r="382" spans="1:20" s="79" customFormat="1" ht="38.25">
      <c r="A382" s="24">
        <v>24</v>
      </c>
      <c r="B382" s="8" t="s">
        <v>227</v>
      </c>
      <c r="C382" s="8" t="s">
        <v>956</v>
      </c>
      <c r="D382" s="8" t="s">
        <v>228</v>
      </c>
      <c r="E382" s="59" t="s">
        <v>231</v>
      </c>
      <c r="F382" s="71" t="s">
        <v>394</v>
      </c>
      <c r="G382" s="31">
        <v>0</v>
      </c>
      <c r="H382" s="31">
        <v>0</v>
      </c>
      <c r="I382" s="31">
        <v>13000</v>
      </c>
      <c r="J382" s="31">
        <v>13000</v>
      </c>
      <c r="K382" s="80"/>
      <c r="L382" s="80"/>
      <c r="M382" s="80"/>
      <c r="N382" s="80"/>
      <c r="O382" s="80"/>
      <c r="P382" s="80"/>
      <c r="Q382" s="80"/>
      <c r="R382" s="81"/>
      <c r="S382" s="81"/>
      <c r="T382" s="81"/>
    </row>
    <row r="383" spans="1:20" s="79" customFormat="1" ht="38.25">
      <c r="A383" s="24">
        <v>25</v>
      </c>
      <c r="B383" s="8" t="s">
        <v>227</v>
      </c>
      <c r="C383" s="8" t="s">
        <v>957</v>
      </c>
      <c r="D383" s="8" t="s">
        <v>228</v>
      </c>
      <c r="E383" s="59" t="s">
        <v>231</v>
      </c>
      <c r="F383" s="71" t="s">
        <v>394</v>
      </c>
      <c r="G383" s="31">
        <v>0</v>
      </c>
      <c r="H383" s="31">
        <v>0</v>
      </c>
      <c r="I383" s="31">
        <v>74840</v>
      </c>
      <c r="J383" s="31">
        <v>74840</v>
      </c>
      <c r="K383" s="80"/>
      <c r="L383" s="80"/>
      <c r="M383" s="80"/>
      <c r="N383" s="80"/>
      <c r="O383" s="80"/>
      <c r="P383" s="80"/>
      <c r="Q383" s="80"/>
      <c r="R383" s="81"/>
      <c r="S383" s="81"/>
      <c r="T383" s="81"/>
    </row>
    <row r="384" spans="1:20" s="79" customFormat="1" ht="38.25">
      <c r="A384" s="24">
        <v>26</v>
      </c>
      <c r="B384" s="8" t="s">
        <v>227</v>
      </c>
      <c r="C384" s="8" t="s">
        <v>958</v>
      </c>
      <c r="D384" s="8" t="s">
        <v>228</v>
      </c>
      <c r="E384" s="59" t="s">
        <v>231</v>
      </c>
      <c r="F384" s="71" t="s">
        <v>394</v>
      </c>
      <c r="G384" s="31">
        <v>0</v>
      </c>
      <c r="H384" s="31">
        <v>0</v>
      </c>
      <c r="I384" s="31">
        <v>1300</v>
      </c>
      <c r="J384" s="31">
        <v>1300</v>
      </c>
      <c r="K384" s="80"/>
      <c r="L384" s="80"/>
      <c r="M384" s="80"/>
      <c r="N384" s="80"/>
      <c r="O384" s="80"/>
      <c r="P384" s="80"/>
      <c r="Q384" s="80"/>
      <c r="R384" s="81"/>
      <c r="S384" s="81"/>
      <c r="T384" s="81"/>
    </row>
    <row r="385" spans="1:20" s="79" customFormat="1" ht="38.25">
      <c r="A385" s="24">
        <v>27</v>
      </c>
      <c r="B385" s="8" t="s">
        <v>227</v>
      </c>
      <c r="C385" s="8" t="s">
        <v>959</v>
      </c>
      <c r="D385" s="8" t="s">
        <v>228</v>
      </c>
      <c r="E385" s="59" t="s">
        <v>231</v>
      </c>
      <c r="F385" s="71" t="s">
        <v>394</v>
      </c>
      <c r="G385" s="31">
        <v>0</v>
      </c>
      <c r="H385" s="31">
        <v>0</v>
      </c>
      <c r="I385" s="31">
        <v>24909</v>
      </c>
      <c r="J385" s="31">
        <v>24909</v>
      </c>
      <c r="K385" s="80"/>
      <c r="L385" s="80"/>
      <c r="M385" s="80"/>
      <c r="N385" s="80"/>
      <c r="O385" s="80"/>
      <c r="P385" s="80"/>
      <c r="Q385" s="80"/>
      <c r="R385" s="81"/>
      <c r="S385" s="81"/>
      <c r="T385" s="81"/>
    </row>
    <row r="386" spans="1:20" s="79" customFormat="1" ht="38.25">
      <c r="A386" s="24">
        <v>28</v>
      </c>
      <c r="B386" s="8" t="s">
        <v>227</v>
      </c>
      <c r="C386" s="8" t="s">
        <v>960</v>
      </c>
      <c r="D386" s="8" t="s">
        <v>228</v>
      </c>
      <c r="E386" s="59" t="s">
        <v>231</v>
      </c>
      <c r="F386" s="71" t="s">
        <v>394</v>
      </c>
      <c r="G386" s="31">
        <v>0</v>
      </c>
      <c r="H386" s="31">
        <v>0</v>
      </c>
      <c r="I386" s="31">
        <v>1200</v>
      </c>
      <c r="J386" s="31">
        <v>1200</v>
      </c>
      <c r="K386" s="80"/>
      <c r="L386" s="80"/>
      <c r="M386" s="80"/>
      <c r="N386" s="80"/>
      <c r="O386" s="80"/>
      <c r="P386" s="80"/>
      <c r="Q386" s="80"/>
      <c r="R386" s="81"/>
      <c r="S386" s="81"/>
      <c r="T386" s="81"/>
    </row>
    <row r="387" spans="1:20" s="79" customFormat="1" ht="38.25">
      <c r="A387" s="24">
        <v>29</v>
      </c>
      <c r="B387" s="8" t="s">
        <v>227</v>
      </c>
      <c r="C387" s="8" t="s">
        <v>961</v>
      </c>
      <c r="D387" s="8" t="s">
        <v>228</v>
      </c>
      <c r="E387" s="59" t="s">
        <v>231</v>
      </c>
      <c r="F387" s="71" t="s">
        <v>394</v>
      </c>
      <c r="G387" s="31">
        <v>0</v>
      </c>
      <c r="H387" s="31">
        <v>0</v>
      </c>
      <c r="I387" s="31">
        <v>7000</v>
      </c>
      <c r="J387" s="31">
        <v>7000</v>
      </c>
      <c r="K387" s="80"/>
      <c r="L387" s="80"/>
      <c r="M387" s="80"/>
      <c r="N387" s="80"/>
      <c r="O387" s="80"/>
      <c r="P387" s="80"/>
      <c r="Q387" s="80"/>
      <c r="R387" s="81"/>
      <c r="S387" s="81"/>
      <c r="T387" s="81"/>
    </row>
    <row r="388" spans="1:20" s="79" customFormat="1" ht="38.25">
      <c r="A388" s="24">
        <v>30</v>
      </c>
      <c r="B388" s="8" t="s">
        <v>227</v>
      </c>
      <c r="C388" s="8" t="s">
        <v>962</v>
      </c>
      <c r="D388" s="8" t="s">
        <v>228</v>
      </c>
      <c r="E388" s="59" t="s">
        <v>231</v>
      </c>
      <c r="F388" s="71" t="s">
        <v>394</v>
      </c>
      <c r="G388" s="31">
        <v>0</v>
      </c>
      <c r="H388" s="31">
        <v>0</v>
      </c>
      <c r="I388" s="31">
        <v>2700</v>
      </c>
      <c r="J388" s="31">
        <v>2502</v>
      </c>
      <c r="K388" s="80"/>
      <c r="L388" s="80"/>
      <c r="M388" s="80"/>
      <c r="N388" s="80"/>
      <c r="O388" s="80"/>
      <c r="P388" s="80"/>
      <c r="Q388" s="80"/>
      <c r="R388" s="81"/>
      <c r="S388" s="81"/>
      <c r="T388" s="81"/>
    </row>
    <row r="389" spans="1:20" s="79" customFormat="1" ht="38.25">
      <c r="A389" s="24">
        <v>31</v>
      </c>
      <c r="B389" s="8" t="s">
        <v>227</v>
      </c>
      <c r="C389" s="8" t="s">
        <v>963</v>
      </c>
      <c r="D389" s="8" t="s">
        <v>228</v>
      </c>
      <c r="E389" s="59" t="s">
        <v>231</v>
      </c>
      <c r="F389" s="71" t="s">
        <v>394</v>
      </c>
      <c r="G389" s="31">
        <v>0</v>
      </c>
      <c r="H389" s="31">
        <v>0</v>
      </c>
      <c r="I389" s="31">
        <v>1960</v>
      </c>
      <c r="J389" s="31">
        <v>1785.01</v>
      </c>
      <c r="K389" s="80"/>
      <c r="L389" s="80"/>
      <c r="M389" s="80"/>
      <c r="N389" s="80"/>
      <c r="O389" s="80"/>
      <c r="P389" s="80"/>
      <c r="Q389" s="80"/>
      <c r="R389" s="81"/>
      <c r="S389" s="81"/>
      <c r="T389" s="81"/>
    </row>
    <row r="390" spans="1:20" s="79" customFormat="1" ht="38.25">
      <c r="A390" s="24">
        <v>32</v>
      </c>
      <c r="B390" s="8" t="s">
        <v>227</v>
      </c>
      <c r="C390" s="8" t="s">
        <v>964</v>
      </c>
      <c r="D390" s="8" t="s">
        <v>228</v>
      </c>
      <c r="E390" s="59" t="s">
        <v>231</v>
      </c>
      <c r="F390" s="71" t="s">
        <v>394</v>
      </c>
      <c r="G390" s="31">
        <v>0</v>
      </c>
      <c r="H390" s="31">
        <v>0</v>
      </c>
      <c r="I390" s="31">
        <v>92600</v>
      </c>
      <c r="J390" s="31">
        <v>91298.58</v>
      </c>
      <c r="K390" s="80"/>
      <c r="L390" s="80"/>
      <c r="M390" s="80"/>
      <c r="N390" s="80"/>
      <c r="O390" s="80"/>
      <c r="P390" s="80"/>
      <c r="Q390" s="80"/>
      <c r="R390" s="81"/>
      <c r="S390" s="81"/>
      <c r="T390" s="81"/>
    </row>
    <row r="391" spans="1:20" s="79" customFormat="1" ht="38.25">
      <c r="A391" s="24">
        <v>33</v>
      </c>
      <c r="B391" s="8" t="s">
        <v>227</v>
      </c>
      <c r="C391" s="8" t="s">
        <v>965</v>
      </c>
      <c r="D391" s="8" t="s">
        <v>228</v>
      </c>
      <c r="E391" s="59" t="s">
        <v>231</v>
      </c>
      <c r="F391" s="71" t="s">
        <v>394</v>
      </c>
      <c r="G391" s="31">
        <v>0</v>
      </c>
      <c r="H391" s="31">
        <v>0</v>
      </c>
      <c r="I391" s="31">
        <v>9550</v>
      </c>
      <c r="J391" s="31">
        <v>9319.7</v>
      </c>
      <c r="K391" s="80"/>
      <c r="L391" s="80"/>
      <c r="M391" s="80"/>
      <c r="N391" s="80"/>
      <c r="O391" s="80"/>
      <c r="P391" s="80"/>
      <c r="Q391" s="80"/>
      <c r="R391" s="81"/>
      <c r="S391" s="81"/>
      <c r="T391" s="81"/>
    </row>
    <row r="392" spans="1:20" s="79" customFormat="1" ht="38.25">
      <c r="A392" s="24">
        <v>34</v>
      </c>
      <c r="B392" s="8" t="s">
        <v>227</v>
      </c>
      <c r="C392" s="8" t="s">
        <v>966</v>
      </c>
      <c r="D392" s="8" t="s">
        <v>228</v>
      </c>
      <c r="E392" s="59" t="s">
        <v>231</v>
      </c>
      <c r="F392" s="71" t="s">
        <v>394</v>
      </c>
      <c r="G392" s="31">
        <v>0</v>
      </c>
      <c r="H392" s="31">
        <v>0</v>
      </c>
      <c r="I392" s="31">
        <v>4100</v>
      </c>
      <c r="J392" s="31">
        <v>3260</v>
      </c>
      <c r="K392" s="80"/>
      <c r="L392" s="80"/>
      <c r="M392" s="80"/>
      <c r="N392" s="80"/>
      <c r="O392" s="80"/>
      <c r="P392" s="80"/>
      <c r="Q392" s="80"/>
      <c r="R392" s="81"/>
      <c r="S392" s="81"/>
      <c r="T392" s="81"/>
    </row>
    <row r="393" spans="1:20" s="79" customFormat="1" ht="38.25">
      <c r="A393" s="24">
        <v>35</v>
      </c>
      <c r="B393" s="8" t="s">
        <v>227</v>
      </c>
      <c r="C393" s="8" t="s">
        <v>967</v>
      </c>
      <c r="D393" s="8" t="s">
        <v>228</v>
      </c>
      <c r="E393" s="59" t="s">
        <v>231</v>
      </c>
      <c r="F393" s="71" t="s">
        <v>394</v>
      </c>
      <c r="G393" s="31">
        <v>0</v>
      </c>
      <c r="H393" s="31">
        <v>0</v>
      </c>
      <c r="I393" s="31">
        <v>103300</v>
      </c>
      <c r="J393" s="31">
        <v>103300</v>
      </c>
      <c r="K393" s="80"/>
      <c r="L393" s="80"/>
      <c r="M393" s="80"/>
      <c r="N393" s="80"/>
      <c r="O393" s="80"/>
      <c r="P393" s="80"/>
      <c r="Q393" s="80"/>
      <c r="R393" s="81"/>
      <c r="S393" s="81"/>
      <c r="T393" s="81"/>
    </row>
    <row r="394" spans="1:20" s="79" customFormat="1" ht="38.25">
      <c r="A394" s="24">
        <v>36</v>
      </c>
      <c r="B394" s="8" t="s">
        <v>227</v>
      </c>
      <c r="C394" s="8" t="s">
        <v>968</v>
      </c>
      <c r="D394" s="8" t="s">
        <v>228</v>
      </c>
      <c r="E394" s="59" t="s">
        <v>231</v>
      </c>
      <c r="F394" s="71" t="s">
        <v>394</v>
      </c>
      <c r="G394" s="31">
        <v>0</v>
      </c>
      <c r="H394" s="31">
        <v>0</v>
      </c>
      <c r="I394" s="31">
        <v>770</v>
      </c>
      <c r="J394" s="31">
        <v>768.4</v>
      </c>
      <c r="K394" s="80"/>
      <c r="L394" s="80"/>
      <c r="M394" s="80"/>
      <c r="N394" s="80"/>
      <c r="O394" s="80"/>
      <c r="P394" s="80"/>
      <c r="Q394" s="80"/>
      <c r="R394" s="81"/>
      <c r="S394" s="81"/>
      <c r="T394" s="81"/>
    </row>
    <row r="395" spans="1:20" s="79" customFormat="1" ht="38.25">
      <c r="A395" s="24">
        <v>37</v>
      </c>
      <c r="B395" s="8" t="s">
        <v>227</v>
      </c>
      <c r="C395" s="8" t="s">
        <v>969</v>
      </c>
      <c r="D395" s="8" t="s">
        <v>228</v>
      </c>
      <c r="E395" s="59" t="s">
        <v>231</v>
      </c>
      <c r="F395" s="71" t="s">
        <v>394</v>
      </c>
      <c r="G395" s="31">
        <v>0</v>
      </c>
      <c r="H395" s="31">
        <v>0</v>
      </c>
      <c r="I395" s="31">
        <v>2700</v>
      </c>
      <c r="J395" s="31">
        <v>2700</v>
      </c>
      <c r="K395" s="80"/>
      <c r="L395" s="80"/>
      <c r="M395" s="80"/>
      <c r="N395" s="80"/>
      <c r="O395" s="80"/>
      <c r="P395" s="80"/>
      <c r="Q395" s="80"/>
      <c r="R395" s="81"/>
      <c r="S395" s="81"/>
      <c r="T395" s="81"/>
    </row>
    <row r="396" spans="1:20" s="79" customFormat="1" ht="38.25">
      <c r="A396" s="24">
        <v>38</v>
      </c>
      <c r="B396" s="8" t="s">
        <v>227</v>
      </c>
      <c r="C396" s="8" t="s">
        <v>970</v>
      </c>
      <c r="D396" s="8" t="s">
        <v>228</v>
      </c>
      <c r="E396" s="59" t="s">
        <v>231</v>
      </c>
      <c r="F396" s="71" t="s">
        <v>394</v>
      </c>
      <c r="G396" s="31">
        <v>0</v>
      </c>
      <c r="H396" s="31">
        <v>0</v>
      </c>
      <c r="I396" s="31">
        <v>23370</v>
      </c>
      <c r="J396" s="31">
        <v>23360.28</v>
      </c>
      <c r="K396" s="80"/>
      <c r="L396" s="80"/>
      <c r="M396" s="80"/>
      <c r="N396" s="80"/>
      <c r="O396" s="80"/>
      <c r="P396" s="80"/>
      <c r="Q396" s="80"/>
      <c r="R396" s="81"/>
      <c r="S396" s="81"/>
      <c r="T396" s="81"/>
    </row>
    <row r="397" spans="1:20" s="79" customFormat="1" ht="38.25">
      <c r="A397" s="24">
        <v>39</v>
      </c>
      <c r="B397" s="8" t="s">
        <v>227</v>
      </c>
      <c r="C397" s="8" t="s">
        <v>971</v>
      </c>
      <c r="D397" s="8" t="s">
        <v>228</v>
      </c>
      <c r="E397" s="59" t="s">
        <v>231</v>
      </c>
      <c r="F397" s="71" t="s">
        <v>394</v>
      </c>
      <c r="G397" s="31">
        <v>0</v>
      </c>
      <c r="H397" s="31">
        <v>0</v>
      </c>
      <c r="I397" s="31">
        <v>12000</v>
      </c>
      <c r="J397" s="31">
        <v>0</v>
      </c>
      <c r="K397" s="80"/>
      <c r="L397" s="80"/>
      <c r="M397" s="80"/>
      <c r="N397" s="80"/>
      <c r="O397" s="80"/>
      <c r="P397" s="80"/>
      <c r="Q397" s="80"/>
      <c r="R397" s="81"/>
      <c r="S397" s="81"/>
      <c r="T397" s="81"/>
    </row>
    <row r="398" spans="1:20" s="79" customFormat="1" ht="38.25">
      <c r="A398" s="24">
        <v>40</v>
      </c>
      <c r="B398" s="8" t="s">
        <v>227</v>
      </c>
      <c r="C398" s="8" t="s">
        <v>972</v>
      </c>
      <c r="D398" s="8" t="s">
        <v>228</v>
      </c>
      <c r="E398" s="59" t="s">
        <v>231</v>
      </c>
      <c r="F398" s="71" t="s">
        <v>394</v>
      </c>
      <c r="G398" s="31">
        <v>0</v>
      </c>
      <c r="H398" s="31">
        <v>0</v>
      </c>
      <c r="I398" s="31">
        <v>2740</v>
      </c>
      <c r="J398" s="31">
        <v>1930.4</v>
      </c>
      <c r="K398" s="80"/>
      <c r="L398" s="80"/>
      <c r="M398" s="80"/>
      <c r="N398" s="80"/>
      <c r="O398" s="80"/>
      <c r="P398" s="80"/>
      <c r="Q398" s="80"/>
      <c r="R398" s="81"/>
      <c r="S398" s="81"/>
      <c r="T398" s="81"/>
    </row>
    <row r="399" spans="1:20" s="79" customFormat="1" ht="38.25">
      <c r="A399" s="24">
        <v>41</v>
      </c>
      <c r="B399" s="8" t="s">
        <v>227</v>
      </c>
      <c r="C399" s="8" t="s">
        <v>973</v>
      </c>
      <c r="D399" s="8" t="s">
        <v>228</v>
      </c>
      <c r="E399" s="59" t="s">
        <v>231</v>
      </c>
      <c r="F399" s="71" t="s">
        <v>394</v>
      </c>
      <c r="G399" s="31">
        <v>0</v>
      </c>
      <c r="H399" s="31">
        <v>0</v>
      </c>
      <c r="I399" s="31">
        <v>1300</v>
      </c>
      <c r="J399" s="31">
        <v>1300</v>
      </c>
      <c r="K399" s="80"/>
      <c r="L399" s="80"/>
      <c r="M399" s="80"/>
      <c r="N399" s="80"/>
      <c r="O399" s="80"/>
      <c r="P399" s="80"/>
      <c r="Q399" s="80"/>
      <c r="R399" s="81"/>
      <c r="S399" s="81"/>
      <c r="T399" s="81"/>
    </row>
    <row r="400" spans="1:20" s="79" customFormat="1" ht="38.25">
      <c r="A400" s="24">
        <v>42</v>
      </c>
      <c r="B400" s="8" t="s">
        <v>227</v>
      </c>
      <c r="C400" s="8" t="s">
        <v>974</v>
      </c>
      <c r="D400" s="8" t="s">
        <v>228</v>
      </c>
      <c r="E400" s="59" t="s">
        <v>231</v>
      </c>
      <c r="F400" s="71" t="s">
        <v>394</v>
      </c>
      <c r="G400" s="31">
        <v>0</v>
      </c>
      <c r="H400" s="31">
        <v>0</v>
      </c>
      <c r="I400" s="31">
        <v>128800</v>
      </c>
      <c r="J400" s="31">
        <v>128800</v>
      </c>
      <c r="K400" s="80"/>
      <c r="L400" s="80"/>
      <c r="M400" s="80"/>
      <c r="N400" s="80"/>
      <c r="O400" s="80"/>
      <c r="P400" s="80"/>
      <c r="Q400" s="80"/>
      <c r="R400" s="81"/>
      <c r="S400" s="81"/>
      <c r="T400" s="81"/>
    </row>
    <row r="401" spans="1:20" s="79" customFormat="1" ht="38.25">
      <c r="A401" s="24">
        <v>43</v>
      </c>
      <c r="B401" s="8" t="s">
        <v>227</v>
      </c>
      <c r="C401" s="8" t="s">
        <v>975</v>
      </c>
      <c r="D401" s="8" t="s">
        <v>228</v>
      </c>
      <c r="E401" s="59" t="s">
        <v>231</v>
      </c>
      <c r="F401" s="71" t="s">
        <v>394</v>
      </c>
      <c r="G401" s="31">
        <v>0</v>
      </c>
      <c r="H401" s="31">
        <v>0</v>
      </c>
      <c r="I401" s="31">
        <v>10000</v>
      </c>
      <c r="J401" s="31">
        <v>10000</v>
      </c>
      <c r="K401" s="80"/>
      <c r="L401" s="80"/>
      <c r="M401" s="80"/>
      <c r="N401" s="80"/>
      <c r="O401" s="80"/>
      <c r="P401" s="80"/>
      <c r="Q401" s="80"/>
      <c r="R401" s="81"/>
      <c r="S401" s="81"/>
      <c r="T401" s="81"/>
    </row>
    <row r="402" spans="1:20" s="79" customFormat="1" ht="38.25">
      <c r="A402" s="24">
        <v>44</v>
      </c>
      <c r="B402" s="8" t="s">
        <v>227</v>
      </c>
      <c r="C402" s="8" t="s">
        <v>976</v>
      </c>
      <c r="D402" s="8" t="s">
        <v>228</v>
      </c>
      <c r="E402" s="59" t="s">
        <v>231</v>
      </c>
      <c r="F402" s="71" t="s">
        <v>394</v>
      </c>
      <c r="G402" s="31">
        <v>0</v>
      </c>
      <c r="H402" s="31">
        <v>0</v>
      </c>
      <c r="I402" s="31">
        <v>12100</v>
      </c>
      <c r="J402" s="31">
        <v>12100</v>
      </c>
      <c r="K402" s="80"/>
      <c r="L402" s="80"/>
      <c r="M402" s="80"/>
      <c r="N402" s="80"/>
      <c r="O402" s="80"/>
      <c r="P402" s="80"/>
      <c r="Q402" s="80"/>
      <c r="R402" s="81"/>
      <c r="S402" s="81"/>
      <c r="T402" s="81"/>
    </row>
    <row r="403" spans="1:20" s="79" customFormat="1" ht="38.25">
      <c r="A403" s="24">
        <v>45</v>
      </c>
      <c r="B403" s="8" t="s">
        <v>227</v>
      </c>
      <c r="C403" s="8" t="s">
        <v>977</v>
      </c>
      <c r="D403" s="8" t="s">
        <v>228</v>
      </c>
      <c r="E403" s="59" t="s">
        <v>231</v>
      </c>
      <c r="F403" s="71" t="s">
        <v>394</v>
      </c>
      <c r="G403" s="31">
        <v>0</v>
      </c>
      <c r="H403" s="31">
        <v>0</v>
      </c>
      <c r="I403" s="31">
        <v>5000</v>
      </c>
      <c r="J403" s="31">
        <v>5000</v>
      </c>
      <c r="K403" s="80"/>
      <c r="L403" s="80"/>
      <c r="M403" s="80"/>
      <c r="N403" s="80"/>
      <c r="O403" s="80"/>
      <c r="P403" s="80"/>
      <c r="Q403" s="80"/>
      <c r="R403" s="81"/>
      <c r="S403" s="81"/>
      <c r="T403" s="81"/>
    </row>
    <row r="404" spans="1:20" s="79" customFormat="1" ht="38.25">
      <c r="A404" s="24">
        <v>46</v>
      </c>
      <c r="B404" s="8" t="s">
        <v>227</v>
      </c>
      <c r="C404" s="8" t="s">
        <v>978</v>
      </c>
      <c r="D404" s="8" t="s">
        <v>228</v>
      </c>
      <c r="E404" s="59" t="s">
        <v>231</v>
      </c>
      <c r="F404" s="71" t="s">
        <v>394</v>
      </c>
      <c r="G404" s="31">
        <v>0</v>
      </c>
      <c r="H404" s="31">
        <v>0</v>
      </c>
      <c r="I404" s="31">
        <v>18670</v>
      </c>
      <c r="J404" s="31">
        <v>17470</v>
      </c>
      <c r="K404" s="80"/>
      <c r="L404" s="80"/>
      <c r="M404" s="80"/>
      <c r="N404" s="80"/>
      <c r="O404" s="80"/>
      <c r="P404" s="80"/>
      <c r="Q404" s="80"/>
      <c r="R404" s="81"/>
      <c r="S404" s="81"/>
      <c r="T404" s="81"/>
    </row>
    <row r="405" spans="1:20" s="79" customFormat="1" ht="38.25">
      <c r="A405" s="24">
        <v>47</v>
      </c>
      <c r="B405" s="8" t="s">
        <v>227</v>
      </c>
      <c r="C405" s="8" t="s">
        <v>979</v>
      </c>
      <c r="D405" s="8" t="s">
        <v>228</v>
      </c>
      <c r="E405" s="59" t="s">
        <v>231</v>
      </c>
      <c r="F405" s="71" t="s">
        <v>394</v>
      </c>
      <c r="G405" s="31">
        <v>0</v>
      </c>
      <c r="H405" s="31">
        <v>0</v>
      </c>
      <c r="I405" s="31">
        <v>41500</v>
      </c>
      <c r="J405" s="31">
        <v>41500</v>
      </c>
      <c r="K405" s="80"/>
      <c r="L405" s="80"/>
      <c r="M405" s="80"/>
      <c r="N405" s="80"/>
      <c r="O405" s="80"/>
      <c r="P405" s="80"/>
      <c r="Q405" s="80"/>
      <c r="R405" s="81"/>
      <c r="S405" s="81"/>
      <c r="T405" s="81"/>
    </row>
    <row r="406" spans="1:20" s="79" customFormat="1" ht="38.25">
      <c r="A406" s="24">
        <v>48</v>
      </c>
      <c r="B406" s="8" t="s">
        <v>227</v>
      </c>
      <c r="C406" s="8" t="s">
        <v>980</v>
      </c>
      <c r="D406" s="8" t="s">
        <v>228</v>
      </c>
      <c r="E406" s="59" t="s">
        <v>231</v>
      </c>
      <c r="F406" s="71" t="s">
        <v>394</v>
      </c>
      <c r="G406" s="31">
        <v>0</v>
      </c>
      <c r="H406" s="31">
        <v>0</v>
      </c>
      <c r="I406" s="31">
        <v>2060</v>
      </c>
      <c r="J406" s="31">
        <v>2060</v>
      </c>
      <c r="K406" s="80"/>
      <c r="L406" s="80"/>
      <c r="M406" s="80"/>
      <c r="N406" s="80"/>
      <c r="O406" s="80"/>
      <c r="P406" s="80"/>
      <c r="Q406" s="80"/>
      <c r="R406" s="81"/>
      <c r="S406" s="81"/>
      <c r="T406" s="81"/>
    </row>
    <row r="407" spans="1:20" s="79" customFormat="1" ht="38.25">
      <c r="A407" s="24">
        <v>49</v>
      </c>
      <c r="B407" s="8" t="s">
        <v>227</v>
      </c>
      <c r="C407" s="8" t="s">
        <v>754</v>
      </c>
      <c r="D407" s="8" t="s">
        <v>228</v>
      </c>
      <c r="E407" s="59" t="s">
        <v>231</v>
      </c>
      <c r="F407" s="71" t="s">
        <v>394</v>
      </c>
      <c r="G407" s="31">
        <v>0</v>
      </c>
      <c r="H407" s="31">
        <v>0</v>
      </c>
      <c r="I407" s="31">
        <v>3200</v>
      </c>
      <c r="J407" s="31">
        <v>3200</v>
      </c>
      <c r="K407" s="80"/>
      <c r="L407" s="80"/>
      <c r="M407" s="80"/>
      <c r="N407" s="80"/>
      <c r="O407" s="80"/>
      <c r="P407" s="80"/>
      <c r="Q407" s="80"/>
      <c r="R407" s="81"/>
      <c r="S407" s="81"/>
      <c r="T407" s="81"/>
    </row>
    <row r="408" spans="1:20" s="79" customFormat="1" ht="38.25">
      <c r="A408" s="24">
        <v>50</v>
      </c>
      <c r="B408" s="8" t="s">
        <v>227</v>
      </c>
      <c r="C408" s="8" t="s">
        <v>981</v>
      </c>
      <c r="D408" s="8" t="s">
        <v>228</v>
      </c>
      <c r="E408" s="59" t="s">
        <v>231</v>
      </c>
      <c r="F408" s="71" t="s">
        <v>394</v>
      </c>
      <c r="G408" s="31">
        <v>0</v>
      </c>
      <c r="H408" s="31">
        <v>0</v>
      </c>
      <c r="I408" s="31">
        <v>39000</v>
      </c>
      <c r="J408" s="31">
        <v>39000</v>
      </c>
      <c r="K408" s="80"/>
      <c r="L408" s="80"/>
      <c r="M408" s="80"/>
      <c r="N408" s="80"/>
      <c r="O408" s="80"/>
      <c r="P408" s="80"/>
      <c r="Q408" s="80"/>
      <c r="R408" s="81"/>
      <c r="S408" s="81"/>
      <c r="T408" s="81"/>
    </row>
    <row r="409" spans="1:20" s="79" customFormat="1" ht="38.25">
      <c r="A409" s="24">
        <v>51</v>
      </c>
      <c r="B409" s="8" t="s">
        <v>227</v>
      </c>
      <c r="C409" s="8" t="s">
        <v>516</v>
      </c>
      <c r="D409" s="8" t="s">
        <v>228</v>
      </c>
      <c r="E409" s="59" t="s">
        <v>231</v>
      </c>
      <c r="F409" s="71" t="s">
        <v>394</v>
      </c>
      <c r="G409" s="31">
        <v>0</v>
      </c>
      <c r="H409" s="31">
        <v>0</v>
      </c>
      <c r="I409" s="31">
        <v>4900</v>
      </c>
      <c r="J409" s="31">
        <v>4900</v>
      </c>
      <c r="K409" s="80"/>
      <c r="L409" s="80"/>
      <c r="M409" s="80"/>
      <c r="N409" s="80"/>
      <c r="O409" s="80"/>
      <c r="P409" s="80"/>
      <c r="Q409" s="80"/>
      <c r="R409" s="81"/>
      <c r="S409" s="81"/>
      <c r="T409" s="81"/>
    </row>
    <row r="410" spans="1:20" s="79" customFormat="1" ht="38.25">
      <c r="A410" s="24">
        <v>52</v>
      </c>
      <c r="B410" s="8" t="s">
        <v>227</v>
      </c>
      <c r="C410" s="8" t="s">
        <v>520</v>
      </c>
      <c r="D410" s="8" t="s">
        <v>228</v>
      </c>
      <c r="E410" s="59" t="s">
        <v>231</v>
      </c>
      <c r="F410" s="71" t="s">
        <v>394</v>
      </c>
      <c r="G410" s="31">
        <v>0</v>
      </c>
      <c r="H410" s="31">
        <v>0</v>
      </c>
      <c r="I410" s="31">
        <v>5000</v>
      </c>
      <c r="J410" s="31">
        <v>4300</v>
      </c>
      <c r="K410" s="80"/>
      <c r="L410" s="80"/>
      <c r="M410" s="80"/>
      <c r="N410" s="80"/>
      <c r="O410" s="80"/>
      <c r="P410" s="80"/>
      <c r="Q410" s="80"/>
      <c r="R410" s="81"/>
      <c r="S410" s="81"/>
      <c r="T410" s="81"/>
    </row>
    <row r="411" spans="1:20" s="79" customFormat="1" ht="38.25">
      <c r="A411" s="24">
        <v>53</v>
      </c>
      <c r="B411" s="8" t="s">
        <v>227</v>
      </c>
      <c r="C411" s="8" t="s">
        <v>517</v>
      </c>
      <c r="D411" s="8" t="s">
        <v>228</v>
      </c>
      <c r="E411" s="59" t="s">
        <v>231</v>
      </c>
      <c r="F411" s="71" t="s">
        <v>394</v>
      </c>
      <c r="G411" s="31">
        <v>0</v>
      </c>
      <c r="H411" s="31">
        <v>0</v>
      </c>
      <c r="I411" s="31">
        <v>11630</v>
      </c>
      <c r="J411" s="31">
        <v>11630</v>
      </c>
      <c r="K411" s="80"/>
      <c r="L411" s="80"/>
      <c r="M411" s="80"/>
      <c r="N411" s="80"/>
      <c r="O411" s="80"/>
      <c r="P411" s="80"/>
      <c r="Q411" s="80"/>
      <c r="R411" s="81"/>
      <c r="S411" s="81"/>
      <c r="T411" s="81"/>
    </row>
    <row r="412" spans="1:20" s="79" customFormat="1" ht="38.25">
      <c r="A412" s="24">
        <v>54</v>
      </c>
      <c r="B412" s="8" t="s">
        <v>227</v>
      </c>
      <c r="C412" s="8" t="s">
        <v>518</v>
      </c>
      <c r="D412" s="8" t="s">
        <v>228</v>
      </c>
      <c r="E412" s="59" t="s">
        <v>231</v>
      </c>
      <c r="F412" s="71" t="s">
        <v>394</v>
      </c>
      <c r="G412" s="31">
        <v>0</v>
      </c>
      <c r="H412" s="31">
        <v>0</v>
      </c>
      <c r="I412" s="31">
        <v>2375</v>
      </c>
      <c r="J412" s="31">
        <v>2375</v>
      </c>
      <c r="K412" s="80"/>
      <c r="L412" s="80"/>
      <c r="M412" s="80"/>
      <c r="N412" s="80"/>
      <c r="O412" s="80"/>
      <c r="P412" s="80"/>
      <c r="Q412" s="80"/>
      <c r="R412" s="81"/>
      <c r="S412" s="81"/>
      <c r="T412" s="81"/>
    </row>
    <row r="413" spans="1:20" s="79" customFormat="1" ht="38.25">
      <c r="A413" s="24">
        <v>55</v>
      </c>
      <c r="B413" s="8" t="s">
        <v>227</v>
      </c>
      <c r="C413" s="8" t="s">
        <v>519</v>
      </c>
      <c r="D413" s="8" t="s">
        <v>228</v>
      </c>
      <c r="E413" s="59" t="s">
        <v>231</v>
      </c>
      <c r="F413" s="71" t="s">
        <v>394</v>
      </c>
      <c r="G413" s="31">
        <v>0</v>
      </c>
      <c r="H413" s="31">
        <v>0</v>
      </c>
      <c r="I413" s="31">
        <v>2800</v>
      </c>
      <c r="J413" s="31">
        <v>0</v>
      </c>
      <c r="K413" s="80"/>
      <c r="L413" s="80"/>
      <c r="M413" s="80"/>
      <c r="N413" s="80"/>
      <c r="O413" s="80"/>
      <c r="P413" s="80"/>
      <c r="Q413" s="80"/>
      <c r="R413" s="81"/>
      <c r="S413" s="81"/>
      <c r="T413" s="81"/>
    </row>
    <row r="414" spans="1:20" s="79" customFormat="1" ht="51">
      <c r="A414" s="24">
        <v>55</v>
      </c>
      <c r="B414" s="8" t="s">
        <v>438</v>
      </c>
      <c r="C414" s="8" t="s">
        <v>439</v>
      </c>
      <c r="D414" s="8" t="s">
        <v>228</v>
      </c>
      <c r="E414" s="59" t="s">
        <v>231</v>
      </c>
      <c r="F414" s="71" t="s">
        <v>394</v>
      </c>
      <c r="G414" s="31">
        <v>0</v>
      </c>
      <c r="H414" s="31">
        <v>0</v>
      </c>
      <c r="I414" s="31">
        <v>2500000</v>
      </c>
      <c r="J414" s="31">
        <v>2500000</v>
      </c>
      <c r="K414" s="80"/>
      <c r="L414" s="80"/>
      <c r="M414" s="80"/>
      <c r="N414" s="80"/>
      <c r="O414" s="80"/>
      <c r="P414" s="80"/>
      <c r="Q414" s="80"/>
      <c r="R414" s="81"/>
      <c r="S414" s="81"/>
      <c r="T414" s="81"/>
    </row>
    <row r="415" spans="1:10" s="213" customFormat="1" ht="38.25">
      <c r="A415" s="24">
        <v>56</v>
      </c>
      <c r="B415" s="8" t="s">
        <v>227</v>
      </c>
      <c r="C415" s="146" t="s">
        <v>935</v>
      </c>
      <c r="D415" s="31" t="s">
        <v>247</v>
      </c>
      <c r="E415" s="59" t="s">
        <v>231</v>
      </c>
      <c r="F415" s="71" t="s">
        <v>394</v>
      </c>
      <c r="G415" s="31">
        <v>0</v>
      </c>
      <c r="H415" s="31">
        <v>0</v>
      </c>
      <c r="I415" s="43">
        <v>4710</v>
      </c>
      <c r="J415" s="43">
        <v>4710</v>
      </c>
    </row>
    <row r="416" spans="1:10" s="213" customFormat="1" ht="38.25">
      <c r="A416" s="24">
        <v>57</v>
      </c>
      <c r="B416" s="8" t="s">
        <v>227</v>
      </c>
      <c r="C416" s="146" t="s">
        <v>940</v>
      </c>
      <c r="D416" s="31" t="s">
        <v>247</v>
      </c>
      <c r="E416" s="59" t="s">
        <v>231</v>
      </c>
      <c r="F416" s="71" t="s">
        <v>394</v>
      </c>
      <c r="G416" s="31">
        <v>0</v>
      </c>
      <c r="H416" s="31">
        <v>0</v>
      </c>
      <c r="I416" s="43">
        <v>400</v>
      </c>
      <c r="J416" s="43">
        <v>400</v>
      </c>
    </row>
    <row r="417" spans="1:10" s="213" customFormat="1" ht="38.25">
      <c r="A417" s="24">
        <v>58</v>
      </c>
      <c r="B417" s="8" t="s">
        <v>227</v>
      </c>
      <c r="C417" s="146" t="s">
        <v>1009</v>
      </c>
      <c r="D417" s="31" t="s">
        <v>247</v>
      </c>
      <c r="E417" s="59" t="s">
        <v>231</v>
      </c>
      <c r="F417" s="71" t="s">
        <v>394</v>
      </c>
      <c r="G417" s="31">
        <v>0</v>
      </c>
      <c r="H417" s="31">
        <v>0</v>
      </c>
      <c r="I417" s="43">
        <v>9000</v>
      </c>
      <c r="J417" s="43">
        <v>9000</v>
      </c>
    </row>
    <row r="418" spans="1:10" s="213" customFormat="1" ht="38.25">
      <c r="A418" s="24">
        <v>59</v>
      </c>
      <c r="B418" s="8" t="s">
        <v>227</v>
      </c>
      <c r="C418" s="146" t="s">
        <v>945</v>
      </c>
      <c r="D418" s="31" t="s">
        <v>247</v>
      </c>
      <c r="E418" s="59" t="s">
        <v>231</v>
      </c>
      <c r="F418" s="71" t="s">
        <v>394</v>
      </c>
      <c r="G418" s="31">
        <v>0</v>
      </c>
      <c r="H418" s="31">
        <v>0</v>
      </c>
      <c r="I418" s="43">
        <v>2500</v>
      </c>
      <c r="J418" s="43">
        <v>2500</v>
      </c>
    </row>
    <row r="419" spans="1:10" s="213" customFormat="1" ht="38.25">
      <c r="A419" s="24">
        <v>60</v>
      </c>
      <c r="B419" s="8" t="s">
        <v>227</v>
      </c>
      <c r="C419" s="146" t="s">
        <v>330</v>
      </c>
      <c r="D419" s="31" t="s">
        <v>247</v>
      </c>
      <c r="E419" s="59" t="s">
        <v>231</v>
      </c>
      <c r="F419" s="71" t="s">
        <v>394</v>
      </c>
      <c r="G419" s="31">
        <v>0</v>
      </c>
      <c r="H419" s="31">
        <v>0</v>
      </c>
      <c r="I419" s="43">
        <v>1700</v>
      </c>
      <c r="J419" s="43">
        <v>1700</v>
      </c>
    </row>
    <row r="420" spans="1:10" s="213" customFormat="1" ht="38.25">
      <c r="A420" s="24">
        <v>61</v>
      </c>
      <c r="B420" s="8" t="s">
        <v>227</v>
      </c>
      <c r="C420" s="146" t="s">
        <v>313</v>
      </c>
      <c r="D420" s="31" t="s">
        <v>247</v>
      </c>
      <c r="E420" s="59" t="s">
        <v>231</v>
      </c>
      <c r="F420" s="71" t="s">
        <v>394</v>
      </c>
      <c r="G420" s="31">
        <v>0</v>
      </c>
      <c r="H420" s="31">
        <v>0</v>
      </c>
      <c r="I420" s="43">
        <v>6250</v>
      </c>
      <c r="J420" s="43">
        <v>6250</v>
      </c>
    </row>
    <row r="421" spans="1:10" s="213" customFormat="1" ht="38.25">
      <c r="A421" s="24">
        <v>62</v>
      </c>
      <c r="B421" s="8" t="s">
        <v>227</v>
      </c>
      <c r="C421" s="146" t="s">
        <v>1010</v>
      </c>
      <c r="D421" s="31" t="s">
        <v>247</v>
      </c>
      <c r="E421" s="59" t="s">
        <v>231</v>
      </c>
      <c r="F421" s="71" t="s">
        <v>394</v>
      </c>
      <c r="G421" s="31">
        <v>0</v>
      </c>
      <c r="H421" s="31">
        <v>0</v>
      </c>
      <c r="I421" s="43">
        <v>5430</v>
      </c>
      <c r="J421" s="43">
        <v>5430</v>
      </c>
    </row>
    <row r="422" spans="1:10" s="213" customFormat="1" ht="38.25">
      <c r="A422" s="24">
        <v>63</v>
      </c>
      <c r="B422" s="8" t="s">
        <v>227</v>
      </c>
      <c r="C422" s="146" t="s">
        <v>1011</v>
      </c>
      <c r="D422" s="31" t="s">
        <v>247</v>
      </c>
      <c r="E422" s="59" t="s">
        <v>231</v>
      </c>
      <c r="F422" s="71" t="s">
        <v>394</v>
      </c>
      <c r="G422" s="31">
        <v>0</v>
      </c>
      <c r="H422" s="31">
        <v>0</v>
      </c>
      <c r="I422" s="43">
        <v>2000</v>
      </c>
      <c r="J422" s="43">
        <v>2000</v>
      </c>
    </row>
    <row r="423" spans="1:10" s="213" customFormat="1" ht="38.25">
      <c r="A423" s="24">
        <v>64</v>
      </c>
      <c r="B423" s="8" t="s">
        <v>227</v>
      </c>
      <c r="C423" s="146" t="s">
        <v>1012</v>
      </c>
      <c r="D423" s="31" t="s">
        <v>247</v>
      </c>
      <c r="E423" s="59" t="s">
        <v>231</v>
      </c>
      <c r="F423" s="71" t="s">
        <v>394</v>
      </c>
      <c r="G423" s="31">
        <v>0</v>
      </c>
      <c r="H423" s="31">
        <v>0</v>
      </c>
      <c r="I423" s="43">
        <v>4045</v>
      </c>
      <c r="J423" s="43">
        <v>4045</v>
      </c>
    </row>
    <row r="424" spans="1:10" s="213" customFormat="1" ht="38.25">
      <c r="A424" s="24">
        <v>65</v>
      </c>
      <c r="B424" s="8" t="s">
        <v>227</v>
      </c>
      <c r="C424" s="146" t="s">
        <v>331</v>
      </c>
      <c r="D424" s="31" t="s">
        <v>247</v>
      </c>
      <c r="E424" s="59" t="s">
        <v>231</v>
      </c>
      <c r="F424" s="71" t="s">
        <v>394</v>
      </c>
      <c r="G424" s="31">
        <v>0</v>
      </c>
      <c r="H424" s="31">
        <v>0</v>
      </c>
      <c r="I424" s="43">
        <v>1500</v>
      </c>
      <c r="J424" s="43">
        <v>1500</v>
      </c>
    </row>
    <row r="425" spans="1:10" s="213" customFormat="1" ht="38.25">
      <c r="A425" s="24">
        <v>66</v>
      </c>
      <c r="B425" s="8" t="s">
        <v>227</v>
      </c>
      <c r="C425" s="146" t="s">
        <v>790</v>
      </c>
      <c r="D425" s="31" t="s">
        <v>247</v>
      </c>
      <c r="E425" s="59" t="s">
        <v>231</v>
      </c>
      <c r="F425" s="71" t="s">
        <v>394</v>
      </c>
      <c r="G425" s="31">
        <v>0</v>
      </c>
      <c r="H425" s="31">
        <v>0</v>
      </c>
      <c r="I425" s="43">
        <v>7770</v>
      </c>
      <c r="J425" s="43">
        <v>7770</v>
      </c>
    </row>
    <row r="426" spans="1:10" s="213" customFormat="1" ht="38.25">
      <c r="A426" s="24">
        <v>67</v>
      </c>
      <c r="B426" s="8" t="s">
        <v>227</v>
      </c>
      <c r="C426" s="146" t="s">
        <v>961</v>
      </c>
      <c r="D426" s="31" t="s">
        <v>247</v>
      </c>
      <c r="E426" s="59" t="s">
        <v>231</v>
      </c>
      <c r="F426" s="71" t="s">
        <v>394</v>
      </c>
      <c r="G426" s="31">
        <v>0</v>
      </c>
      <c r="H426" s="31">
        <v>0</v>
      </c>
      <c r="I426" s="43">
        <v>3400</v>
      </c>
      <c r="J426" s="43">
        <v>3400</v>
      </c>
    </row>
    <row r="427" spans="1:10" s="213" customFormat="1" ht="38.25">
      <c r="A427" s="24">
        <v>68</v>
      </c>
      <c r="B427" s="8" t="s">
        <v>227</v>
      </c>
      <c r="C427" s="146" t="s">
        <v>1013</v>
      </c>
      <c r="D427" s="31" t="s">
        <v>247</v>
      </c>
      <c r="E427" s="59" t="s">
        <v>231</v>
      </c>
      <c r="F427" s="71" t="s">
        <v>394</v>
      </c>
      <c r="G427" s="31">
        <v>0</v>
      </c>
      <c r="H427" s="31">
        <v>0</v>
      </c>
      <c r="I427" s="43">
        <v>600</v>
      </c>
      <c r="J427" s="43">
        <v>600</v>
      </c>
    </row>
    <row r="428" spans="1:10" s="213" customFormat="1" ht="38.25">
      <c r="A428" s="24">
        <v>69</v>
      </c>
      <c r="B428" s="8" t="s">
        <v>227</v>
      </c>
      <c r="C428" s="146" t="s">
        <v>320</v>
      </c>
      <c r="D428" s="31" t="s">
        <v>247</v>
      </c>
      <c r="E428" s="59" t="s">
        <v>231</v>
      </c>
      <c r="F428" s="71" t="s">
        <v>394</v>
      </c>
      <c r="G428" s="31">
        <v>0</v>
      </c>
      <c r="H428" s="31">
        <v>0</v>
      </c>
      <c r="I428" s="43">
        <v>2770</v>
      </c>
      <c r="J428" s="43">
        <v>2770</v>
      </c>
    </row>
    <row r="429" spans="1:10" s="213" customFormat="1" ht="38.25">
      <c r="A429" s="24">
        <v>70</v>
      </c>
      <c r="B429" s="8" t="s">
        <v>227</v>
      </c>
      <c r="C429" s="146" t="s">
        <v>31</v>
      </c>
      <c r="D429" s="31" t="s">
        <v>247</v>
      </c>
      <c r="E429" s="59" t="s">
        <v>231</v>
      </c>
      <c r="F429" s="71" t="s">
        <v>394</v>
      </c>
      <c r="G429" s="31">
        <v>0</v>
      </c>
      <c r="H429" s="31">
        <v>0</v>
      </c>
      <c r="I429" s="43">
        <v>5690</v>
      </c>
      <c r="J429" s="43">
        <v>5620.26</v>
      </c>
    </row>
    <row r="430" spans="1:10" s="213" customFormat="1" ht="38.25">
      <c r="A430" s="24">
        <v>71</v>
      </c>
      <c r="B430" s="8" t="s">
        <v>227</v>
      </c>
      <c r="C430" s="146" t="s">
        <v>1014</v>
      </c>
      <c r="D430" s="31" t="s">
        <v>247</v>
      </c>
      <c r="E430" s="59" t="s">
        <v>231</v>
      </c>
      <c r="F430" s="71" t="s">
        <v>394</v>
      </c>
      <c r="G430" s="31">
        <v>0</v>
      </c>
      <c r="H430" s="31">
        <v>0</v>
      </c>
      <c r="I430" s="43">
        <v>18100</v>
      </c>
      <c r="J430" s="43">
        <v>14600</v>
      </c>
    </row>
    <row r="431" spans="1:10" s="213" customFormat="1" ht="38.25">
      <c r="A431" s="24">
        <v>72</v>
      </c>
      <c r="B431" s="8" t="s">
        <v>227</v>
      </c>
      <c r="C431" s="146" t="s">
        <v>1015</v>
      </c>
      <c r="D431" s="31" t="s">
        <v>247</v>
      </c>
      <c r="E431" s="59" t="s">
        <v>231</v>
      </c>
      <c r="F431" s="71" t="s">
        <v>394</v>
      </c>
      <c r="G431" s="31">
        <v>0</v>
      </c>
      <c r="H431" s="31">
        <v>0</v>
      </c>
      <c r="I431" s="43">
        <v>1800</v>
      </c>
      <c r="J431" s="43">
        <v>1800</v>
      </c>
    </row>
    <row r="432" spans="1:10" s="213" customFormat="1" ht="38.25">
      <c r="A432" s="24">
        <v>73</v>
      </c>
      <c r="B432" s="8" t="s">
        <v>227</v>
      </c>
      <c r="C432" s="146" t="s">
        <v>323</v>
      </c>
      <c r="D432" s="31" t="s">
        <v>247</v>
      </c>
      <c r="E432" s="59" t="s">
        <v>231</v>
      </c>
      <c r="F432" s="71" t="s">
        <v>394</v>
      </c>
      <c r="G432" s="31">
        <v>0</v>
      </c>
      <c r="H432" s="31">
        <v>0</v>
      </c>
      <c r="I432" s="43">
        <v>3130</v>
      </c>
      <c r="J432" s="43">
        <v>3130</v>
      </c>
    </row>
    <row r="433" spans="1:10" s="213" customFormat="1" ht="38.25">
      <c r="A433" s="24">
        <v>75</v>
      </c>
      <c r="B433" s="8" t="s">
        <v>227</v>
      </c>
      <c r="C433" s="146" t="s">
        <v>1016</v>
      </c>
      <c r="D433" s="8" t="s">
        <v>440</v>
      </c>
      <c r="E433" s="59" t="s">
        <v>231</v>
      </c>
      <c r="F433" s="71" t="s">
        <v>394</v>
      </c>
      <c r="G433" s="31">
        <v>0</v>
      </c>
      <c r="H433" s="31">
        <v>0</v>
      </c>
      <c r="I433" s="31">
        <v>8200</v>
      </c>
      <c r="J433" s="31">
        <v>7859.1</v>
      </c>
    </row>
    <row r="434" spans="1:11" s="32" customFormat="1" ht="24">
      <c r="A434" s="59"/>
      <c r="B434" s="59"/>
      <c r="C434" s="59"/>
      <c r="D434" s="14"/>
      <c r="E434" s="14" t="s">
        <v>231</v>
      </c>
      <c r="F434" s="15" t="s">
        <v>394</v>
      </c>
      <c r="G434" s="27">
        <f>SUM(G360:G433)</f>
        <v>0</v>
      </c>
      <c r="H434" s="27">
        <f>SUM(H360:H433)</f>
        <v>0</v>
      </c>
      <c r="I434" s="27">
        <f>SUM(I360:I433)</f>
        <v>3783855</v>
      </c>
      <c r="J434" s="27">
        <f>SUM(J360:J433)</f>
        <v>3743946.05</v>
      </c>
      <c r="K434" s="110"/>
    </row>
    <row r="435" spans="1:11" s="2" customFormat="1" ht="24">
      <c r="A435" s="4" t="s">
        <v>376</v>
      </c>
      <c r="B435" s="353" t="s">
        <v>521</v>
      </c>
      <c r="C435" s="352"/>
      <c r="D435" s="4"/>
      <c r="E435" s="74"/>
      <c r="F435" s="5" t="s">
        <v>394</v>
      </c>
      <c r="G435" s="34">
        <f>G462</f>
        <v>110380</v>
      </c>
      <c r="H435" s="34">
        <f>H462</f>
        <v>109315.43</v>
      </c>
      <c r="I435" s="34">
        <f>I462</f>
        <v>0</v>
      </c>
      <c r="J435" s="34">
        <f>J462</f>
        <v>0</v>
      </c>
      <c r="K435" s="106"/>
    </row>
    <row r="436" spans="1:10" s="87" customFormat="1" ht="25.5">
      <c r="A436" s="24">
        <v>1</v>
      </c>
      <c r="B436" s="8" t="s">
        <v>34</v>
      </c>
      <c r="C436" s="8" t="s">
        <v>31</v>
      </c>
      <c r="D436" s="8" t="s">
        <v>35</v>
      </c>
      <c r="E436" s="59" t="s">
        <v>30</v>
      </c>
      <c r="F436" s="71" t="s">
        <v>394</v>
      </c>
      <c r="G436" s="43">
        <v>4200</v>
      </c>
      <c r="H436" s="43">
        <v>4200</v>
      </c>
      <c r="I436" s="31">
        <v>0</v>
      </c>
      <c r="J436" s="31">
        <v>0</v>
      </c>
    </row>
    <row r="437" spans="1:10" s="87" customFormat="1" ht="25.5">
      <c r="A437" s="24">
        <v>2</v>
      </c>
      <c r="B437" s="8" t="s">
        <v>33</v>
      </c>
      <c r="C437" s="8" t="s">
        <v>448</v>
      </c>
      <c r="D437" s="24" t="s">
        <v>36</v>
      </c>
      <c r="E437" s="59" t="s">
        <v>30</v>
      </c>
      <c r="F437" s="71" t="s">
        <v>394</v>
      </c>
      <c r="G437" s="43">
        <v>4000</v>
      </c>
      <c r="H437" s="43">
        <v>4000</v>
      </c>
      <c r="I437" s="31">
        <v>0</v>
      </c>
      <c r="J437" s="31">
        <v>0</v>
      </c>
    </row>
    <row r="438" spans="1:10" s="87" customFormat="1" ht="25.5">
      <c r="A438" s="24">
        <v>3</v>
      </c>
      <c r="B438" s="8" t="s">
        <v>522</v>
      </c>
      <c r="C438" s="8" t="s">
        <v>449</v>
      </c>
      <c r="D438" s="24" t="s">
        <v>37</v>
      </c>
      <c r="E438" s="59" t="s">
        <v>30</v>
      </c>
      <c r="F438" s="71" t="s">
        <v>394</v>
      </c>
      <c r="G438" s="43">
        <v>2000</v>
      </c>
      <c r="H438" s="43">
        <v>2000</v>
      </c>
      <c r="I438" s="31">
        <v>0</v>
      </c>
      <c r="J438" s="31">
        <v>0</v>
      </c>
    </row>
    <row r="439" spans="1:10" s="87" customFormat="1" ht="25.5">
      <c r="A439" s="24">
        <v>4</v>
      </c>
      <c r="B439" s="8" t="s">
        <v>32</v>
      </c>
      <c r="C439" s="8" t="s">
        <v>38</v>
      </c>
      <c r="D439" s="24" t="s">
        <v>17</v>
      </c>
      <c r="E439" s="59" t="s">
        <v>30</v>
      </c>
      <c r="F439" s="71" t="s">
        <v>394</v>
      </c>
      <c r="G439" s="43">
        <v>1000</v>
      </c>
      <c r="H439" s="43">
        <v>993.06</v>
      </c>
      <c r="I439" s="31">
        <v>0</v>
      </c>
      <c r="J439" s="31">
        <v>0</v>
      </c>
    </row>
    <row r="440" spans="1:10" s="87" customFormat="1" ht="38.25">
      <c r="A440" s="24">
        <v>5</v>
      </c>
      <c r="B440" s="8" t="s">
        <v>523</v>
      </c>
      <c r="C440" s="8" t="s">
        <v>576</v>
      </c>
      <c r="D440" s="8" t="s">
        <v>577</v>
      </c>
      <c r="E440" s="59" t="s">
        <v>30</v>
      </c>
      <c r="F440" s="71" t="s">
        <v>394</v>
      </c>
      <c r="G440" s="43">
        <v>9000</v>
      </c>
      <c r="H440" s="43">
        <v>8194.32</v>
      </c>
      <c r="I440" s="31">
        <v>0</v>
      </c>
      <c r="J440" s="31">
        <v>0</v>
      </c>
    </row>
    <row r="441" spans="1:10" s="87" customFormat="1" ht="25.5">
      <c r="A441" s="24">
        <v>6</v>
      </c>
      <c r="B441" s="8" t="s">
        <v>578</v>
      </c>
      <c r="C441" s="8" t="s">
        <v>579</v>
      </c>
      <c r="D441" s="8" t="s">
        <v>582</v>
      </c>
      <c r="E441" s="59" t="s">
        <v>30</v>
      </c>
      <c r="F441" s="71" t="s">
        <v>394</v>
      </c>
      <c r="G441" s="43">
        <v>5000</v>
      </c>
      <c r="H441" s="43">
        <v>5000</v>
      </c>
      <c r="I441" s="31">
        <v>0</v>
      </c>
      <c r="J441" s="31">
        <v>0</v>
      </c>
    </row>
    <row r="442" spans="1:10" s="87" customFormat="1" ht="24">
      <c r="A442" s="24">
        <v>7</v>
      </c>
      <c r="B442" s="8" t="s">
        <v>580</v>
      </c>
      <c r="C442" s="8" t="s">
        <v>581</v>
      </c>
      <c r="D442" s="24" t="s">
        <v>583</v>
      </c>
      <c r="E442" s="59" t="s">
        <v>30</v>
      </c>
      <c r="F442" s="71" t="s">
        <v>394</v>
      </c>
      <c r="G442" s="43">
        <v>2000</v>
      </c>
      <c r="H442" s="43">
        <v>2000</v>
      </c>
      <c r="I442" s="31">
        <v>0</v>
      </c>
      <c r="J442" s="31">
        <v>0</v>
      </c>
    </row>
    <row r="443" spans="1:10" s="87" customFormat="1" ht="25.5">
      <c r="A443" s="24">
        <v>8</v>
      </c>
      <c r="B443" s="8" t="s">
        <v>1033</v>
      </c>
      <c r="C443" s="8" t="s">
        <v>1034</v>
      </c>
      <c r="D443" s="24" t="s">
        <v>1035</v>
      </c>
      <c r="E443" s="59" t="s">
        <v>30</v>
      </c>
      <c r="F443" s="71" t="s">
        <v>394</v>
      </c>
      <c r="G443" s="43">
        <v>2300</v>
      </c>
      <c r="H443" s="43">
        <v>2300</v>
      </c>
      <c r="I443" s="31">
        <v>0</v>
      </c>
      <c r="J443" s="31">
        <v>0</v>
      </c>
    </row>
    <row r="444" spans="1:10" s="87" customFormat="1" ht="25.5">
      <c r="A444" s="24">
        <v>9</v>
      </c>
      <c r="B444" s="8" t="s">
        <v>1036</v>
      </c>
      <c r="C444" s="8" t="s">
        <v>450</v>
      </c>
      <c r="D444" s="24" t="s">
        <v>1037</v>
      </c>
      <c r="E444" s="59" t="s">
        <v>30</v>
      </c>
      <c r="F444" s="71" t="s">
        <v>394</v>
      </c>
      <c r="G444" s="43">
        <v>2800</v>
      </c>
      <c r="H444" s="43">
        <v>2800</v>
      </c>
      <c r="I444" s="31">
        <v>0</v>
      </c>
      <c r="J444" s="31">
        <v>0</v>
      </c>
    </row>
    <row r="445" spans="1:10" s="87" customFormat="1" ht="25.5">
      <c r="A445" s="24">
        <v>10</v>
      </c>
      <c r="B445" s="8" t="s">
        <v>1038</v>
      </c>
      <c r="C445" s="8" t="s">
        <v>1039</v>
      </c>
      <c r="D445" s="8" t="s">
        <v>1040</v>
      </c>
      <c r="E445" s="59" t="s">
        <v>30</v>
      </c>
      <c r="F445" s="71" t="s">
        <v>394</v>
      </c>
      <c r="G445" s="43">
        <v>3000</v>
      </c>
      <c r="H445" s="43">
        <v>3000</v>
      </c>
      <c r="I445" s="31">
        <v>0</v>
      </c>
      <c r="J445" s="31">
        <v>0</v>
      </c>
    </row>
    <row r="446" spans="1:10" s="87" customFormat="1" ht="25.5">
      <c r="A446" s="24">
        <v>11</v>
      </c>
      <c r="B446" s="8" t="s">
        <v>1041</v>
      </c>
      <c r="C446" s="8" t="s">
        <v>1042</v>
      </c>
      <c r="D446" s="24" t="s">
        <v>1043</v>
      </c>
      <c r="E446" s="59" t="s">
        <v>30</v>
      </c>
      <c r="F446" s="71" t="s">
        <v>394</v>
      </c>
      <c r="G446" s="43">
        <v>780</v>
      </c>
      <c r="H446" s="43">
        <v>780</v>
      </c>
      <c r="I446" s="31">
        <v>0</v>
      </c>
      <c r="J446" s="31">
        <v>0</v>
      </c>
    </row>
    <row r="447" spans="1:10" s="87" customFormat="1" ht="25.5">
      <c r="A447" s="24">
        <v>12</v>
      </c>
      <c r="B447" s="8" t="s">
        <v>1044</v>
      </c>
      <c r="C447" s="8" t="s">
        <v>1045</v>
      </c>
      <c r="D447" s="8" t="s">
        <v>1046</v>
      </c>
      <c r="E447" s="59" t="s">
        <v>30</v>
      </c>
      <c r="F447" s="71" t="s">
        <v>394</v>
      </c>
      <c r="G447" s="43">
        <v>4000</v>
      </c>
      <c r="H447" s="43">
        <v>4000</v>
      </c>
      <c r="I447" s="31">
        <v>0</v>
      </c>
      <c r="J447" s="31">
        <v>0</v>
      </c>
    </row>
    <row r="448" spans="1:10" s="87" customFormat="1" ht="25.5">
      <c r="A448" s="24">
        <v>13</v>
      </c>
      <c r="B448" s="8" t="s">
        <v>1047</v>
      </c>
      <c r="C448" s="8" t="s">
        <v>1048</v>
      </c>
      <c r="D448" s="24" t="s">
        <v>1049</v>
      </c>
      <c r="E448" s="59" t="s">
        <v>30</v>
      </c>
      <c r="F448" s="71" t="s">
        <v>394</v>
      </c>
      <c r="G448" s="43">
        <v>3000</v>
      </c>
      <c r="H448" s="43">
        <v>3000</v>
      </c>
      <c r="I448" s="31">
        <v>0</v>
      </c>
      <c r="J448" s="31">
        <v>0</v>
      </c>
    </row>
    <row r="449" spans="1:10" s="87" customFormat="1" ht="25.5">
      <c r="A449" s="24">
        <v>14</v>
      </c>
      <c r="B449" s="8" t="s">
        <v>1050</v>
      </c>
      <c r="C449" s="8" t="s">
        <v>1039</v>
      </c>
      <c r="D449" s="24" t="s">
        <v>1051</v>
      </c>
      <c r="E449" s="59" t="s">
        <v>30</v>
      </c>
      <c r="F449" s="71" t="s">
        <v>394</v>
      </c>
      <c r="G449" s="43">
        <v>1000</v>
      </c>
      <c r="H449" s="43">
        <v>1000</v>
      </c>
      <c r="I449" s="31">
        <v>0</v>
      </c>
      <c r="J449" s="31">
        <v>0</v>
      </c>
    </row>
    <row r="450" spans="1:10" s="87" customFormat="1" ht="25.5">
      <c r="A450" s="24">
        <v>15</v>
      </c>
      <c r="B450" s="8" t="s">
        <v>755</v>
      </c>
      <c r="C450" s="8" t="s">
        <v>1018</v>
      </c>
      <c r="D450" s="24" t="s">
        <v>1017</v>
      </c>
      <c r="E450" s="59" t="s">
        <v>30</v>
      </c>
      <c r="F450" s="71" t="s">
        <v>394</v>
      </c>
      <c r="G450" s="43">
        <v>6000</v>
      </c>
      <c r="H450" s="43">
        <v>6000</v>
      </c>
      <c r="I450" s="31">
        <v>0</v>
      </c>
      <c r="J450" s="31">
        <v>0</v>
      </c>
    </row>
    <row r="451" spans="1:10" s="87" customFormat="1" ht="25.5">
      <c r="A451" s="24">
        <v>16</v>
      </c>
      <c r="B451" s="8" t="s">
        <v>1052</v>
      </c>
      <c r="C451" s="8" t="s">
        <v>1053</v>
      </c>
      <c r="D451" s="24" t="s">
        <v>1054</v>
      </c>
      <c r="E451" s="59" t="s">
        <v>30</v>
      </c>
      <c r="F451" s="71" t="s">
        <v>394</v>
      </c>
      <c r="G451" s="43">
        <v>5000</v>
      </c>
      <c r="H451" s="43">
        <v>4948.05</v>
      </c>
      <c r="I451" s="31">
        <v>0</v>
      </c>
      <c r="J451" s="31">
        <v>0</v>
      </c>
    </row>
    <row r="452" spans="1:10" s="87" customFormat="1" ht="25.5">
      <c r="A452" s="24">
        <v>17</v>
      </c>
      <c r="B452" s="8" t="s">
        <v>1055</v>
      </c>
      <c r="C452" s="8" t="s">
        <v>1034</v>
      </c>
      <c r="D452" s="8" t="s">
        <v>1056</v>
      </c>
      <c r="E452" s="59" t="s">
        <v>30</v>
      </c>
      <c r="F452" s="71" t="s">
        <v>394</v>
      </c>
      <c r="G452" s="43">
        <v>2700</v>
      </c>
      <c r="H452" s="43">
        <v>2700</v>
      </c>
      <c r="I452" s="31">
        <v>0</v>
      </c>
      <c r="J452" s="31">
        <v>0</v>
      </c>
    </row>
    <row r="453" spans="1:10" s="87" customFormat="1" ht="24">
      <c r="A453" s="24">
        <v>18</v>
      </c>
      <c r="B453" s="8" t="s">
        <v>1057</v>
      </c>
      <c r="C453" s="8" t="s">
        <v>1058</v>
      </c>
      <c r="D453" s="24" t="s">
        <v>1059</v>
      </c>
      <c r="E453" s="59" t="s">
        <v>30</v>
      </c>
      <c r="F453" s="71" t="s">
        <v>394</v>
      </c>
      <c r="G453" s="43">
        <v>5200</v>
      </c>
      <c r="H453" s="43">
        <v>5200</v>
      </c>
      <c r="I453" s="31">
        <v>0</v>
      </c>
      <c r="J453" s="31">
        <v>0</v>
      </c>
    </row>
    <row r="454" spans="1:10" s="87" customFormat="1" ht="25.5">
      <c r="A454" s="24">
        <v>19</v>
      </c>
      <c r="B454" s="8" t="s">
        <v>1060</v>
      </c>
      <c r="C454" s="8" t="s">
        <v>1058</v>
      </c>
      <c r="D454" s="8" t="s">
        <v>40</v>
      </c>
      <c r="E454" s="59" t="s">
        <v>30</v>
      </c>
      <c r="F454" s="71" t="s">
        <v>394</v>
      </c>
      <c r="G454" s="43">
        <v>5500</v>
      </c>
      <c r="H454" s="43">
        <v>5500</v>
      </c>
      <c r="I454" s="31">
        <v>0</v>
      </c>
      <c r="J454" s="31">
        <v>0</v>
      </c>
    </row>
    <row r="455" spans="1:10" s="87" customFormat="1" ht="25.5">
      <c r="A455" s="24">
        <v>20</v>
      </c>
      <c r="B455" s="8" t="s">
        <v>1061</v>
      </c>
      <c r="C455" s="8" t="s">
        <v>39</v>
      </c>
      <c r="D455" s="24" t="s">
        <v>41</v>
      </c>
      <c r="E455" s="59" t="s">
        <v>30</v>
      </c>
      <c r="F455" s="71" t="s">
        <v>394</v>
      </c>
      <c r="G455" s="43">
        <v>5000</v>
      </c>
      <c r="H455" s="43">
        <v>5000</v>
      </c>
      <c r="I455" s="31">
        <v>0</v>
      </c>
      <c r="J455" s="31">
        <v>0</v>
      </c>
    </row>
    <row r="456" spans="1:10" s="87" customFormat="1" ht="25.5">
      <c r="A456" s="24">
        <v>21</v>
      </c>
      <c r="B456" s="8" t="s">
        <v>42</v>
      </c>
      <c r="C456" s="8" t="s">
        <v>1019</v>
      </c>
      <c r="D456" s="8" t="s">
        <v>43</v>
      </c>
      <c r="E456" s="59" t="s">
        <v>30</v>
      </c>
      <c r="F456" s="71" t="s">
        <v>394</v>
      </c>
      <c r="G456" s="43">
        <v>4500</v>
      </c>
      <c r="H456" s="43">
        <v>4500</v>
      </c>
      <c r="I456" s="31">
        <v>0</v>
      </c>
      <c r="J456" s="31">
        <v>0</v>
      </c>
    </row>
    <row r="457" spans="1:10" s="87" customFormat="1" ht="25.5">
      <c r="A457" s="24">
        <v>22</v>
      </c>
      <c r="B457" s="8" t="s">
        <v>756</v>
      </c>
      <c r="C457" s="8" t="s">
        <v>44</v>
      </c>
      <c r="D457" s="24" t="s">
        <v>45</v>
      </c>
      <c r="E457" s="59" t="s">
        <v>30</v>
      </c>
      <c r="F457" s="71" t="s">
        <v>394</v>
      </c>
      <c r="G457" s="43">
        <v>3000</v>
      </c>
      <c r="H457" s="43">
        <v>3000</v>
      </c>
      <c r="I457" s="31">
        <v>0</v>
      </c>
      <c r="J457" s="31">
        <v>0</v>
      </c>
    </row>
    <row r="458" spans="1:10" s="87" customFormat="1" ht="38.25">
      <c r="A458" s="24">
        <v>23</v>
      </c>
      <c r="B458" s="8" t="s">
        <v>757</v>
      </c>
      <c r="C458" s="8" t="s">
        <v>1020</v>
      </c>
      <c r="D458" s="24" t="s">
        <v>46</v>
      </c>
      <c r="E458" s="59" t="s">
        <v>30</v>
      </c>
      <c r="F458" s="71" t="s">
        <v>394</v>
      </c>
      <c r="G458" s="43">
        <v>8000</v>
      </c>
      <c r="H458" s="43">
        <v>8000</v>
      </c>
      <c r="I458" s="31">
        <v>0</v>
      </c>
      <c r="J458" s="31">
        <v>0</v>
      </c>
    </row>
    <row r="459" spans="1:10" s="87" customFormat="1" ht="25.5">
      <c r="A459" s="24">
        <v>24</v>
      </c>
      <c r="B459" s="8" t="s">
        <v>47</v>
      </c>
      <c r="C459" s="8" t="s">
        <v>48</v>
      </c>
      <c r="D459" s="24" t="s">
        <v>49</v>
      </c>
      <c r="E459" s="59" t="s">
        <v>30</v>
      </c>
      <c r="F459" s="71" t="s">
        <v>394</v>
      </c>
      <c r="G459" s="43">
        <v>7000</v>
      </c>
      <c r="H459" s="43">
        <v>7000</v>
      </c>
      <c r="I459" s="31">
        <v>0</v>
      </c>
      <c r="J459" s="31">
        <v>0</v>
      </c>
    </row>
    <row r="460" spans="1:10" s="87" customFormat="1" ht="25.5">
      <c r="A460" s="24">
        <v>25</v>
      </c>
      <c r="B460" s="8" t="s">
        <v>50</v>
      </c>
      <c r="C460" s="8" t="s">
        <v>51</v>
      </c>
      <c r="D460" s="24" t="s">
        <v>52</v>
      </c>
      <c r="E460" s="59" t="s">
        <v>30</v>
      </c>
      <c r="F460" s="71" t="s">
        <v>394</v>
      </c>
      <c r="G460" s="43">
        <v>7000</v>
      </c>
      <c r="H460" s="43">
        <v>7000</v>
      </c>
      <c r="I460" s="31">
        <v>0</v>
      </c>
      <c r="J460" s="31">
        <v>0</v>
      </c>
    </row>
    <row r="461" spans="1:10" s="87" customFormat="1" ht="25.5">
      <c r="A461" s="24">
        <v>26</v>
      </c>
      <c r="B461" s="8" t="s">
        <v>53</v>
      </c>
      <c r="C461" s="8" t="s">
        <v>31</v>
      </c>
      <c r="D461" s="8" t="s">
        <v>54</v>
      </c>
      <c r="E461" s="59" t="s">
        <v>30</v>
      </c>
      <c r="F461" s="71" t="s">
        <v>394</v>
      </c>
      <c r="G461" s="43">
        <v>7400</v>
      </c>
      <c r="H461" s="43">
        <v>7200</v>
      </c>
      <c r="I461" s="31">
        <v>0</v>
      </c>
      <c r="J461" s="31">
        <v>0</v>
      </c>
    </row>
    <row r="462" spans="1:11" s="32" customFormat="1" ht="24">
      <c r="A462" s="355"/>
      <c r="B462" s="355"/>
      <c r="C462" s="355"/>
      <c r="D462" s="14" t="s">
        <v>384</v>
      </c>
      <c r="E462" s="14" t="s">
        <v>232</v>
      </c>
      <c r="F462" s="15" t="s">
        <v>394</v>
      </c>
      <c r="G462" s="27">
        <f>SUM(G436:G461)</f>
        <v>110380</v>
      </c>
      <c r="H462" s="27">
        <f>SUM(H436:H461)</f>
        <v>109315.43</v>
      </c>
      <c r="I462" s="27">
        <f>SUM(I436:I461)</f>
        <v>0</v>
      </c>
      <c r="J462" s="27">
        <f>SUM(J436:J461)</f>
        <v>0</v>
      </c>
      <c r="K462" s="110"/>
    </row>
    <row r="463" spans="1:11" s="88" customFormat="1" ht="24">
      <c r="A463" s="4" t="s">
        <v>387</v>
      </c>
      <c r="B463" s="353" t="s">
        <v>306</v>
      </c>
      <c r="C463" s="371"/>
      <c r="D463" s="214"/>
      <c r="E463" s="215"/>
      <c r="F463" s="5" t="s">
        <v>394</v>
      </c>
      <c r="G463" s="34">
        <f>G479+G496</f>
        <v>0</v>
      </c>
      <c r="H463" s="34">
        <f>H479+H496</f>
        <v>0</v>
      </c>
      <c r="I463" s="34">
        <f>I479+I496</f>
        <v>620000</v>
      </c>
      <c r="J463" s="34">
        <f>J479+J496</f>
        <v>602899.1</v>
      </c>
      <c r="K463" s="106"/>
    </row>
    <row r="464" spans="1:10" s="89" customFormat="1" ht="51">
      <c r="A464" s="24">
        <v>1</v>
      </c>
      <c r="B464" s="8" t="s">
        <v>307</v>
      </c>
      <c r="C464" s="8" t="s">
        <v>311</v>
      </c>
      <c r="D464" s="8" t="s">
        <v>309</v>
      </c>
      <c r="E464" s="59" t="s">
        <v>534</v>
      </c>
      <c r="F464" s="71" t="s">
        <v>394</v>
      </c>
      <c r="G464" s="43">
        <v>0</v>
      </c>
      <c r="H464" s="43">
        <v>0</v>
      </c>
      <c r="I464" s="31">
        <v>26280</v>
      </c>
      <c r="J464" s="31">
        <v>26280</v>
      </c>
    </row>
    <row r="465" spans="1:10" s="89" customFormat="1" ht="51">
      <c r="A465" s="24">
        <v>2</v>
      </c>
      <c r="B465" s="8" t="s">
        <v>307</v>
      </c>
      <c r="C465" s="8" t="s">
        <v>312</v>
      </c>
      <c r="D465" s="8" t="s">
        <v>309</v>
      </c>
      <c r="E465" s="59" t="s">
        <v>534</v>
      </c>
      <c r="F465" s="71" t="s">
        <v>394</v>
      </c>
      <c r="G465" s="43">
        <v>0</v>
      </c>
      <c r="H465" s="43">
        <v>0</v>
      </c>
      <c r="I465" s="31">
        <v>17160</v>
      </c>
      <c r="J465" s="43">
        <v>16883.39</v>
      </c>
    </row>
    <row r="466" spans="1:10" s="89" customFormat="1" ht="51">
      <c r="A466" s="24">
        <v>3</v>
      </c>
      <c r="B466" s="8" t="s">
        <v>307</v>
      </c>
      <c r="C466" s="8" t="s">
        <v>313</v>
      </c>
      <c r="D466" s="8" t="s">
        <v>309</v>
      </c>
      <c r="E466" s="59" t="s">
        <v>534</v>
      </c>
      <c r="F466" s="71" t="s">
        <v>394</v>
      </c>
      <c r="G466" s="43">
        <v>0</v>
      </c>
      <c r="H466" s="43">
        <v>0</v>
      </c>
      <c r="I466" s="31">
        <v>18900</v>
      </c>
      <c r="J466" s="31">
        <v>18900</v>
      </c>
    </row>
    <row r="467" spans="1:10" s="89" customFormat="1" ht="51">
      <c r="A467" s="24">
        <v>4</v>
      </c>
      <c r="B467" s="8" t="s">
        <v>307</v>
      </c>
      <c r="C467" s="8" t="s">
        <v>314</v>
      </c>
      <c r="D467" s="8" t="s">
        <v>309</v>
      </c>
      <c r="E467" s="59" t="s">
        <v>534</v>
      </c>
      <c r="F467" s="71" t="s">
        <v>394</v>
      </c>
      <c r="G467" s="43">
        <v>0</v>
      </c>
      <c r="H467" s="43">
        <v>0</v>
      </c>
      <c r="I467" s="31">
        <v>18020</v>
      </c>
      <c r="J467" s="31">
        <v>18020</v>
      </c>
    </row>
    <row r="468" spans="1:10" s="89" customFormat="1" ht="51">
      <c r="A468" s="24">
        <v>5</v>
      </c>
      <c r="B468" s="8" t="s">
        <v>307</v>
      </c>
      <c r="C468" s="8" t="s">
        <v>315</v>
      </c>
      <c r="D468" s="8" t="s">
        <v>309</v>
      </c>
      <c r="E468" s="59" t="s">
        <v>534</v>
      </c>
      <c r="F468" s="71" t="s">
        <v>394</v>
      </c>
      <c r="G468" s="43">
        <v>0</v>
      </c>
      <c r="H468" s="43">
        <v>0</v>
      </c>
      <c r="I468" s="31">
        <v>3307</v>
      </c>
      <c r="J468" s="31">
        <v>3307</v>
      </c>
    </row>
    <row r="469" spans="1:10" s="89" customFormat="1" ht="51">
      <c r="A469" s="24">
        <v>6</v>
      </c>
      <c r="B469" s="8" t="s">
        <v>307</v>
      </c>
      <c r="C469" s="8" t="s">
        <v>316</v>
      </c>
      <c r="D469" s="8" t="s">
        <v>309</v>
      </c>
      <c r="E469" s="59" t="s">
        <v>534</v>
      </c>
      <c r="F469" s="71" t="s">
        <v>394</v>
      </c>
      <c r="G469" s="43">
        <v>0</v>
      </c>
      <c r="H469" s="43">
        <v>0</v>
      </c>
      <c r="I469" s="31">
        <v>14810</v>
      </c>
      <c r="J469" s="31">
        <v>14810</v>
      </c>
    </row>
    <row r="470" spans="1:10" s="89" customFormat="1" ht="51">
      <c r="A470" s="24">
        <v>7</v>
      </c>
      <c r="B470" s="8" t="s">
        <v>307</v>
      </c>
      <c r="C470" s="8" t="s">
        <v>317</v>
      </c>
      <c r="D470" s="8" t="s">
        <v>309</v>
      </c>
      <c r="E470" s="59" t="s">
        <v>534</v>
      </c>
      <c r="F470" s="71" t="s">
        <v>394</v>
      </c>
      <c r="G470" s="43">
        <v>0</v>
      </c>
      <c r="H470" s="43">
        <v>0</v>
      </c>
      <c r="I470" s="31">
        <v>63500</v>
      </c>
      <c r="J470" s="31">
        <v>63500</v>
      </c>
    </row>
    <row r="471" spans="1:10" s="89" customFormat="1" ht="51">
      <c r="A471" s="24">
        <v>8</v>
      </c>
      <c r="B471" s="8" t="s">
        <v>307</v>
      </c>
      <c r="C471" s="8" t="s">
        <v>318</v>
      </c>
      <c r="D471" s="8" t="s">
        <v>309</v>
      </c>
      <c r="E471" s="59" t="s">
        <v>534</v>
      </c>
      <c r="F471" s="71" t="s">
        <v>394</v>
      </c>
      <c r="G471" s="43">
        <v>0</v>
      </c>
      <c r="H471" s="43">
        <v>0</v>
      </c>
      <c r="I471" s="31">
        <v>12760</v>
      </c>
      <c r="J471" s="31">
        <v>12760</v>
      </c>
    </row>
    <row r="472" spans="1:10" s="89" customFormat="1" ht="51">
      <c r="A472" s="24">
        <v>9</v>
      </c>
      <c r="B472" s="8" t="s">
        <v>307</v>
      </c>
      <c r="C472" s="8" t="s">
        <v>319</v>
      </c>
      <c r="D472" s="8" t="s">
        <v>309</v>
      </c>
      <c r="E472" s="59" t="s">
        <v>534</v>
      </c>
      <c r="F472" s="71" t="s">
        <v>394</v>
      </c>
      <c r="G472" s="43">
        <v>0</v>
      </c>
      <c r="H472" s="43">
        <v>0</v>
      </c>
      <c r="I472" s="31">
        <v>21200</v>
      </c>
      <c r="J472" s="31">
        <v>21200</v>
      </c>
    </row>
    <row r="473" spans="1:10" s="89" customFormat="1" ht="51">
      <c r="A473" s="24">
        <v>10</v>
      </c>
      <c r="B473" s="8" t="s">
        <v>307</v>
      </c>
      <c r="C473" s="8" t="s">
        <v>320</v>
      </c>
      <c r="D473" s="8" t="s">
        <v>309</v>
      </c>
      <c r="E473" s="59" t="s">
        <v>534</v>
      </c>
      <c r="F473" s="71" t="s">
        <v>394</v>
      </c>
      <c r="G473" s="43">
        <v>0</v>
      </c>
      <c r="H473" s="43">
        <v>0</v>
      </c>
      <c r="I473" s="31">
        <v>16900</v>
      </c>
      <c r="J473" s="31">
        <v>16900</v>
      </c>
    </row>
    <row r="474" spans="1:10" s="89" customFormat="1" ht="51">
      <c r="A474" s="24">
        <v>11</v>
      </c>
      <c r="B474" s="8" t="s">
        <v>307</v>
      </c>
      <c r="C474" s="8" t="s">
        <v>31</v>
      </c>
      <c r="D474" s="8" t="s">
        <v>309</v>
      </c>
      <c r="E474" s="59" t="s">
        <v>534</v>
      </c>
      <c r="F474" s="71" t="s">
        <v>394</v>
      </c>
      <c r="G474" s="43">
        <v>0</v>
      </c>
      <c r="H474" s="43">
        <v>0</v>
      </c>
      <c r="I474" s="31">
        <v>15650</v>
      </c>
      <c r="J474" s="31">
        <v>15650</v>
      </c>
    </row>
    <row r="475" spans="1:10" s="89" customFormat="1" ht="51">
      <c r="A475" s="24">
        <v>12</v>
      </c>
      <c r="B475" s="8" t="s">
        <v>307</v>
      </c>
      <c r="C475" s="8" t="s">
        <v>1058</v>
      </c>
      <c r="D475" s="8" t="s">
        <v>309</v>
      </c>
      <c r="E475" s="59" t="s">
        <v>534</v>
      </c>
      <c r="F475" s="71" t="s">
        <v>394</v>
      </c>
      <c r="G475" s="43">
        <v>0</v>
      </c>
      <c r="H475" s="43">
        <v>0</v>
      </c>
      <c r="I475" s="31">
        <v>26500</v>
      </c>
      <c r="J475" s="31">
        <v>26500</v>
      </c>
    </row>
    <row r="476" spans="1:10" s="89" customFormat="1" ht="51">
      <c r="A476" s="24">
        <v>13</v>
      </c>
      <c r="B476" s="8" t="s">
        <v>307</v>
      </c>
      <c r="C476" s="8" t="s">
        <v>321</v>
      </c>
      <c r="D476" s="8" t="s">
        <v>309</v>
      </c>
      <c r="E476" s="59" t="s">
        <v>534</v>
      </c>
      <c r="F476" s="71" t="s">
        <v>394</v>
      </c>
      <c r="G476" s="43">
        <v>0</v>
      </c>
      <c r="H476" s="43">
        <v>0</v>
      </c>
      <c r="I476" s="31">
        <v>19675</v>
      </c>
      <c r="J476" s="31">
        <v>19675</v>
      </c>
    </row>
    <row r="477" spans="1:10" s="89" customFormat="1" ht="51">
      <c r="A477" s="24">
        <v>14</v>
      </c>
      <c r="B477" s="8" t="s">
        <v>307</v>
      </c>
      <c r="C477" s="8" t="s">
        <v>322</v>
      </c>
      <c r="D477" s="8" t="s">
        <v>309</v>
      </c>
      <c r="E477" s="59" t="s">
        <v>534</v>
      </c>
      <c r="F477" s="71" t="s">
        <v>394</v>
      </c>
      <c r="G477" s="43">
        <v>0</v>
      </c>
      <c r="H477" s="43">
        <v>0</v>
      </c>
      <c r="I477" s="31">
        <v>9988</v>
      </c>
      <c r="J477" s="31">
        <v>9988</v>
      </c>
    </row>
    <row r="478" spans="1:10" s="89" customFormat="1" ht="51">
      <c r="A478" s="24">
        <v>15</v>
      </c>
      <c r="B478" s="8" t="s">
        <v>307</v>
      </c>
      <c r="C478" s="8" t="s">
        <v>323</v>
      </c>
      <c r="D478" s="8" t="s">
        <v>309</v>
      </c>
      <c r="E478" s="59" t="s">
        <v>534</v>
      </c>
      <c r="F478" s="71" t="s">
        <v>394</v>
      </c>
      <c r="G478" s="43">
        <v>0</v>
      </c>
      <c r="H478" s="43">
        <v>0</v>
      </c>
      <c r="I478" s="31">
        <v>25350</v>
      </c>
      <c r="J478" s="31">
        <v>25350</v>
      </c>
    </row>
    <row r="479" spans="1:11" s="32" customFormat="1" ht="24">
      <c r="A479" s="355"/>
      <c r="B479" s="355"/>
      <c r="C479" s="355"/>
      <c r="D479" s="14" t="s">
        <v>384</v>
      </c>
      <c r="E479" s="14" t="s">
        <v>310</v>
      </c>
      <c r="F479" s="15" t="s">
        <v>394</v>
      </c>
      <c r="G479" s="27">
        <f>SUM(G464:G478)</f>
        <v>0</v>
      </c>
      <c r="H479" s="27">
        <f>SUM(H464:H478)</f>
        <v>0</v>
      </c>
      <c r="I479" s="27">
        <f>SUM(I464:I478)</f>
        <v>310000</v>
      </c>
      <c r="J479" s="27">
        <f>SUM(J464:J478)</f>
        <v>309723.39</v>
      </c>
      <c r="K479" s="110"/>
    </row>
    <row r="480" spans="1:10" s="89" customFormat="1" ht="63.75">
      <c r="A480" s="24">
        <v>16</v>
      </c>
      <c r="B480" s="8" t="s">
        <v>308</v>
      </c>
      <c r="C480" s="8" t="s">
        <v>326</v>
      </c>
      <c r="D480" s="8" t="s">
        <v>309</v>
      </c>
      <c r="E480" s="59" t="s">
        <v>324</v>
      </c>
      <c r="F480" s="71" t="s">
        <v>394</v>
      </c>
      <c r="G480" s="43">
        <v>0</v>
      </c>
      <c r="H480" s="43">
        <v>0</v>
      </c>
      <c r="I480" s="31">
        <v>44400</v>
      </c>
      <c r="J480" s="31">
        <v>44400</v>
      </c>
    </row>
    <row r="481" spans="1:10" s="89" customFormat="1" ht="63.75">
      <c r="A481" s="24">
        <v>17</v>
      </c>
      <c r="B481" s="8" t="s">
        <v>308</v>
      </c>
      <c r="C481" s="8" t="s">
        <v>327</v>
      </c>
      <c r="D481" s="8" t="s">
        <v>309</v>
      </c>
      <c r="E481" s="59" t="s">
        <v>324</v>
      </c>
      <c r="F481" s="71" t="s">
        <v>394</v>
      </c>
      <c r="G481" s="43">
        <v>0</v>
      </c>
      <c r="H481" s="43">
        <v>0</v>
      </c>
      <c r="I481" s="31">
        <v>22272</v>
      </c>
      <c r="J481" s="31">
        <v>22272</v>
      </c>
    </row>
    <row r="482" spans="1:10" s="89" customFormat="1" ht="63.75">
      <c r="A482" s="24">
        <v>18</v>
      </c>
      <c r="B482" s="8" t="s">
        <v>308</v>
      </c>
      <c r="C482" s="8" t="s">
        <v>328</v>
      </c>
      <c r="D482" s="8" t="s">
        <v>309</v>
      </c>
      <c r="E482" s="59" t="s">
        <v>324</v>
      </c>
      <c r="F482" s="71" t="s">
        <v>394</v>
      </c>
      <c r="G482" s="43">
        <v>0</v>
      </c>
      <c r="H482" s="43">
        <v>0</v>
      </c>
      <c r="I482" s="31">
        <v>8520</v>
      </c>
      <c r="J482" s="43">
        <v>8416</v>
      </c>
    </row>
    <row r="483" spans="1:10" s="89" customFormat="1" ht="63.75">
      <c r="A483" s="24">
        <v>19</v>
      </c>
      <c r="B483" s="8" t="s">
        <v>308</v>
      </c>
      <c r="C483" s="8" t="s">
        <v>329</v>
      </c>
      <c r="D483" s="8" t="s">
        <v>309</v>
      </c>
      <c r="E483" s="59" t="s">
        <v>324</v>
      </c>
      <c r="F483" s="71" t="s">
        <v>394</v>
      </c>
      <c r="G483" s="43">
        <v>0</v>
      </c>
      <c r="H483" s="43">
        <v>0</v>
      </c>
      <c r="I483" s="31">
        <v>15200</v>
      </c>
      <c r="J483" s="31">
        <v>15200</v>
      </c>
    </row>
    <row r="484" spans="1:10" s="89" customFormat="1" ht="63.75">
      <c r="A484" s="24">
        <v>20</v>
      </c>
      <c r="B484" s="8" t="s">
        <v>308</v>
      </c>
      <c r="C484" s="8" t="s">
        <v>330</v>
      </c>
      <c r="D484" s="8" t="s">
        <v>309</v>
      </c>
      <c r="E484" s="59" t="s">
        <v>324</v>
      </c>
      <c r="F484" s="71" t="s">
        <v>394</v>
      </c>
      <c r="G484" s="43">
        <v>0</v>
      </c>
      <c r="H484" s="43">
        <v>0</v>
      </c>
      <c r="I484" s="31">
        <v>14630</v>
      </c>
      <c r="J484" s="31">
        <v>14630</v>
      </c>
    </row>
    <row r="485" spans="1:10" s="89" customFormat="1" ht="63.75">
      <c r="A485" s="24">
        <v>21</v>
      </c>
      <c r="B485" s="8" t="s">
        <v>308</v>
      </c>
      <c r="C485" s="8" t="s">
        <v>331</v>
      </c>
      <c r="D485" s="8" t="s">
        <v>309</v>
      </c>
      <c r="E485" s="59" t="s">
        <v>324</v>
      </c>
      <c r="F485" s="71" t="s">
        <v>394</v>
      </c>
      <c r="G485" s="43">
        <v>0</v>
      </c>
      <c r="H485" s="43">
        <v>0</v>
      </c>
      <c r="I485" s="31">
        <v>7550</v>
      </c>
      <c r="J485" s="31">
        <v>7550</v>
      </c>
    </row>
    <row r="486" spans="1:10" s="89" customFormat="1" ht="63.75">
      <c r="A486" s="24">
        <v>22</v>
      </c>
      <c r="B486" s="8" t="s">
        <v>308</v>
      </c>
      <c r="C486" s="8" t="s">
        <v>332</v>
      </c>
      <c r="D486" s="8" t="s">
        <v>309</v>
      </c>
      <c r="E486" s="59" t="s">
        <v>324</v>
      </c>
      <c r="F486" s="71" t="s">
        <v>394</v>
      </c>
      <c r="G486" s="43">
        <v>0</v>
      </c>
      <c r="H486" s="43">
        <v>0</v>
      </c>
      <c r="I486" s="31">
        <v>19243</v>
      </c>
      <c r="J486" s="31">
        <v>19243</v>
      </c>
    </row>
    <row r="487" spans="1:10" s="89" customFormat="1" ht="63.75">
      <c r="A487" s="24">
        <v>23</v>
      </c>
      <c r="B487" s="8" t="s">
        <v>308</v>
      </c>
      <c r="C487" s="8" t="s">
        <v>789</v>
      </c>
      <c r="D487" s="8" t="s">
        <v>309</v>
      </c>
      <c r="E487" s="59" t="s">
        <v>324</v>
      </c>
      <c r="F487" s="71" t="s">
        <v>394</v>
      </c>
      <c r="G487" s="43">
        <v>0</v>
      </c>
      <c r="H487" s="43">
        <v>0</v>
      </c>
      <c r="I487" s="31">
        <v>52300</v>
      </c>
      <c r="J487" s="31">
        <v>52300</v>
      </c>
    </row>
    <row r="488" spans="1:10" s="89" customFormat="1" ht="63.75">
      <c r="A488" s="24">
        <v>24</v>
      </c>
      <c r="B488" s="8" t="s">
        <v>308</v>
      </c>
      <c r="C488" s="8" t="s">
        <v>790</v>
      </c>
      <c r="D488" s="8" t="s">
        <v>309</v>
      </c>
      <c r="E488" s="59" t="s">
        <v>324</v>
      </c>
      <c r="F488" s="71" t="s">
        <v>394</v>
      </c>
      <c r="G488" s="43">
        <v>0</v>
      </c>
      <c r="H488" s="43">
        <v>0</v>
      </c>
      <c r="I488" s="31">
        <v>37190</v>
      </c>
      <c r="J488" s="43">
        <v>37169.71</v>
      </c>
    </row>
    <row r="489" spans="1:10" s="89" customFormat="1" ht="63.75">
      <c r="A489" s="24">
        <v>25</v>
      </c>
      <c r="B489" s="8" t="s">
        <v>308</v>
      </c>
      <c r="C489" s="8" t="s">
        <v>791</v>
      </c>
      <c r="D489" s="8" t="s">
        <v>309</v>
      </c>
      <c r="E489" s="59" t="s">
        <v>324</v>
      </c>
      <c r="F489" s="71" t="s">
        <v>394</v>
      </c>
      <c r="G489" s="43">
        <v>0</v>
      </c>
      <c r="H489" s="43">
        <v>0</v>
      </c>
      <c r="I489" s="31">
        <v>12800</v>
      </c>
      <c r="J489" s="31">
        <v>12800</v>
      </c>
    </row>
    <row r="490" spans="1:10" s="89" customFormat="1" ht="63.75">
      <c r="A490" s="24">
        <v>26</v>
      </c>
      <c r="B490" s="8" t="s">
        <v>308</v>
      </c>
      <c r="C490" s="8" t="s">
        <v>792</v>
      </c>
      <c r="D490" s="8" t="s">
        <v>309</v>
      </c>
      <c r="E490" s="59" t="s">
        <v>324</v>
      </c>
      <c r="F490" s="71" t="s">
        <v>394</v>
      </c>
      <c r="G490" s="43">
        <v>0</v>
      </c>
      <c r="H490" s="43">
        <v>0</v>
      </c>
      <c r="I490" s="31">
        <v>10805</v>
      </c>
      <c r="J490" s="31">
        <v>10805</v>
      </c>
    </row>
    <row r="491" spans="1:10" s="89" customFormat="1" ht="63.75">
      <c r="A491" s="24">
        <v>27</v>
      </c>
      <c r="B491" s="8" t="s">
        <v>308</v>
      </c>
      <c r="C491" s="8" t="s">
        <v>793</v>
      </c>
      <c r="D491" s="8" t="s">
        <v>309</v>
      </c>
      <c r="E491" s="59" t="s">
        <v>324</v>
      </c>
      <c r="F491" s="71" t="s">
        <v>394</v>
      </c>
      <c r="G491" s="43">
        <v>0</v>
      </c>
      <c r="H491" s="43">
        <v>0</v>
      </c>
      <c r="I491" s="31">
        <v>10290</v>
      </c>
      <c r="J491" s="31">
        <v>10290</v>
      </c>
    </row>
    <row r="492" spans="1:10" s="89" customFormat="1" ht="63.75">
      <c r="A492" s="24">
        <v>28</v>
      </c>
      <c r="B492" s="8" t="s">
        <v>308</v>
      </c>
      <c r="C492" s="8" t="s">
        <v>794</v>
      </c>
      <c r="D492" s="8" t="s">
        <v>309</v>
      </c>
      <c r="E492" s="59" t="s">
        <v>324</v>
      </c>
      <c r="F492" s="71" t="s">
        <v>394</v>
      </c>
      <c r="G492" s="43">
        <v>0</v>
      </c>
      <c r="H492" s="43">
        <v>0</v>
      </c>
      <c r="I492" s="31">
        <v>4400</v>
      </c>
      <c r="J492" s="31">
        <v>4400</v>
      </c>
    </row>
    <row r="493" spans="1:10" s="89" customFormat="1" ht="63.75">
      <c r="A493" s="24">
        <v>29</v>
      </c>
      <c r="B493" s="8" t="s">
        <v>308</v>
      </c>
      <c r="C493" s="8" t="s">
        <v>795</v>
      </c>
      <c r="D493" s="8" t="s">
        <v>309</v>
      </c>
      <c r="E493" s="59" t="s">
        <v>324</v>
      </c>
      <c r="F493" s="71" t="s">
        <v>394</v>
      </c>
      <c r="G493" s="43">
        <v>0</v>
      </c>
      <c r="H493" s="43">
        <v>0</v>
      </c>
      <c r="I493" s="31">
        <v>11100</v>
      </c>
      <c r="J493" s="31">
        <v>11100</v>
      </c>
    </row>
    <row r="494" spans="1:10" s="89" customFormat="1" ht="63.75">
      <c r="A494" s="24">
        <v>30</v>
      </c>
      <c r="B494" s="8" t="s">
        <v>308</v>
      </c>
      <c r="C494" s="8" t="s">
        <v>796</v>
      </c>
      <c r="D494" s="8" t="s">
        <v>309</v>
      </c>
      <c r="E494" s="59" t="s">
        <v>324</v>
      </c>
      <c r="F494" s="71" t="s">
        <v>394</v>
      </c>
      <c r="G494" s="43">
        <v>0</v>
      </c>
      <c r="H494" s="43">
        <v>0</v>
      </c>
      <c r="I494" s="31">
        <v>22600</v>
      </c>
      <c r="J494" s="31">
        <v>22600</v>
      </c>
    </row>
    <row r="495" spans="1:10" s="89" customFormat="1" ht="63.75">
      <c r="A495" s="24">
        <v>31</v>
      </c>
      <c r="B495" s="8" t="s">
        <v>308</v>
      </c>
      <c r="C495" s="8" t="s">
        <v>797</v>
      </c>
      <c r="D495" s="8" t="s">
        <v>309</v>
      </c>
      <c r="E495" s="59" t="s">
        <v>324</v>
      </c>
      <c r="F495" s="71" t="s">
        <v>394</v>
      </c>
      <c r="G495" s="43">
        <v>0</v>
      </c>
      <c r="H495" s="43">
        <v>0</v>
      </c>
      <c r="I495" s="31">
        <v>16700</v>
      </c>
      <c r="J495" s="31">
        <v>0</v>
      </c>
    </row>
    <row r="496" spans="1:11" s="32" customFormat="1" ht="24">
      <c r="A496" s="355"/>
      <c r="B496" s="355"/>
      <c r="C496" s="355"/>
      <c r="D496" s="14" t="s">
        <v>384</v>
      </c>
      <c r="E496" s="14" t="s">
        <v>325</v>
      </c>
      <c r="F496" s="15" t="s">
        <v>394</v>
      </c>
      <c r="G496" s="27">
        <f>SUM(G480:G495)</f>
        <v>0</v>
      </c>
      <c r="H496" s="27">
        <f>SUM(H480:H495)</f>
        <v>0</v>
      </c>
      <c r="I496" s="27">
        <f>SUM(I480:I495)</f>
        <v>310000</v>
      </c>
      <c r="J496" s="27">
        <f>SUM(J480:J495)</f>
        <v>293175.70999999996</v>
      </c>
      <c r="K496" s="110"/>
    </row>
    <row r="497" spans="1:11" s="88" customFormat="1" ht="24">
      <c r="A497" s="352"/>
      <c r="B497" s="352"/>
      <c r="C497" s="352"/>
      <c r="D497" s="369" t="s">
        <v>697</v>
      </c>
      <c r="E497" s="375"/>
      <c r="F497" s="99" t="s">
        <v>394</v>
      </c>
      <c r="G497" s="56">
        <f>G463+G435+G357</f>
        <v>110380</v>
      </c>
      <c r="H497" s="56">
        <f>H463+H435+H357</f>
        <v>109315.43</v>
      </c>
      <c r="I497" s="56">
        <f>I463+I435+I357</f>
        <v>4412005</v>
      </c>
      <c r="J497" s="56">
        <f>J463+J435+J357</f>
        <v>4354460.01</v>
      </c>
      <c r="K497" s="106"/>
    </row>
    <row r="498" spans="1:11" s="96" customFormat="1" ht="12.75">
      <c r="A498" s="376" t="s">
        <v>798</v>
      </c>
      <c r="B498" s="377"/>
      <c r="C498" s="377"/>
      <c r="D498" s="377"/>
      <c r="E498" s="377"/>
      <c r="F498" s="377"/>
      <c r="G498" s="377"/>
      <c r="H498" s="377"/>
      <c r="I498" s="377"/>
      <c r="J498" s="95"/>
      <c r="K498" s="106"/>
    </row>
    <row r="499" spans="1:11" s="96" customFormat="1" ht="12.75">
      <c r="A499" s="97" t="s">
        <v>365</v>
      </c>
      <c r="B499" s="353" t="s">
        <v>799</v>
      </c>
      <c r="C499" s="371"/>
      <c r="D499" s="90"/>
      <c r="E499" s="74"/>
      <c r="F499" s="5" t="s">
        <v>800</v>
      </c>
      <c r="G499" s="86">
        <f>G500</f>
        <v>0</v>
      </c>
      <c r="H499" s="86">
        <f>H500</f>
        <v>0</v>
      </c>
      <c r="I499" s="86">
        <f>I500</f>
        <v>180000</v>
      </c>
      <c r="J499" s="86">
        <f>J500</f>
        <v>180000</v>
      </c>
      <c r="K499" s="106"/>
    </row>
    <row r="500" spans="1:10" s="89" customFormat="1" ht="38.25">
      <c r="A500" s="24">
        <v>1</v>
      </c>
      <c r="B500" s="8" t="s">
        <v>758</v>
      </c>
      <c r="C500" s="105" t="s">
        <v>1021</v>
      </c>
      <c r="D500" s="8" t="s">
        <v>801</v>
      </c>
      <c r="E500" s="59" t="s">
        <v>802</v>
      </c>
      <c r="F500" s="71" t="s">
        <v>800</v>
      </c>
      <c r="G500" s="43">
        <v>0</v>
      </c>
      <c r="H500" s="43">
        <v>0</v>
      </c>
      <c r="I500" s="31">
        <v>180000</v>
      </c>
      <c r="J500" s="31">
        <v>180000</v>
      </c>
    </row>
    <row r="501" spans="1:11" s="88" customFormat="1" ht="12.75">
      <c r="A501" s="352"/>
      <c r="B501" s="371"/>
      <c r="C501" s="371"/>
      <c r="D501" s="69" t="s">
        <v>697</v>
      </c>
      <c r="E501" s="98"/>
      <c r="F501" s="99" t="s">
        <v>800</v>
      </c>
      <c r="G501" s="56">
        <f>G499</f>
        <v>0</v>
      </c>
      <c r="H501" s="56">
        <f>H499</f>
        <v>0</v>
      </c>
      <c r="I501" s="56">
        <f>I499</f>
        <v>180000</v>
      </c>
      <c r="J501" s="56">
        <f>J499</f>
        <v>180000</v>
      </c>
      <c r="K501" s="106"/>
    </row>
    <row r="502" spans="1:11" s="136" customFormat="1" ht="13.5">
      <c r="A502" s="372"/>
      <c r="B502" s="372"/>
      <c r="C502" s="373"/>
      <c r="D502" s="132" t="s">
        <v>803</v>
      </c>
      <c r="E502" s="133"/>
      <c r="F502" s="133"/>
      <c r="G502" s="134">
        <f>G501+G497+G355+G229+G214+G172+G122</f>
        <v>9235832.66</v>
      </c>
      <c r="H502" s="134">
        <f>H501+H497+H355+H229+H214+H172+H122</f>
        <v>9221738.36</v>
      </c>
      <c r="I502" s="134">
        <f>I501+I497+I355+I229+I214+I172+I122</f>
        <v>7602469.359999999</v>
      </c>
      <c r="J502" s="134">
        <f>J501+J497+J355+J229+J214+J172+J122</f>
        <v>7544923.289999999</v>
      </c>
      <c r="K502" s="135"/>
    </row>
  </sheetData>
  <mergeCells count="72">
    <mergeCell ref="A496:C496"/>
    <mergeCell ref="A111:C111"/>
    <mergeCell ref="B223:E223"/>
    <mergeCell ref="B226:E226"/>
    <mergeCell ref="B216:E216"/>
    <mergeCell ref="B219:E219"/>
    <mergeCell ref="B174:E174"/>
    <mergeCell ref="B192:E192"/>
    <mergeCell ref="A113:C113"/>
    <mergeCell ref="B357:C357"/>
    <mergeCell ref="B100:E100"/>
    <mergeCell ref="B124:E124"/>
    <mergeCell ref="A501:C501"/>
    <mergeCell ref="B463:C463"/>
    <mergeCell ref="A230:I230"/>
    <mergeCell ref="A308:C308"/>
    <mergeCell ref="A319:C319"/>
    <mergeCell ref="A250:C250"/>
    <mergeCell ref="B231:E231"/>
    <mergeCell ref="A131:C131"/>
    <mergeCell ref="A497:C497"/>
    <mergeCell ref="A356:H356"/>
    <mergeCell ref="A502:C502"/>
    <mergeCell ref="B4:E4"/>
    <mergeCell ref="B27:E27"/>
    <mergeCell ref="B41:E41"/>
    <mergeCell ref="B61:E61"/>
    <mergeCell ref="D497:E497"/>
    <mergeCell ref="A498:I498"/>
    <mergeCell ref="B499:C499"/>
    <mergeCell ref="A359:C359"/>
    <mergeCell ref="B108:E108"/>
    <mergeCell ref="B114:E114"/>
    <mergeCell ref="A172:C172"/>
    <mergeCell ref="D172:E172"/>
    <mergeCell ref="A173:D173"/>
    <mergeCell ref="D122:E122"/>
    <mergeCell ref="A123:C123"/>
    <mergeCell ref="B132:E132"/>
    <mergeCell ref="B145:E145"/>
    <mergeCell ref="A479:C479"/>
    <mergeCell ref="B435:C435"/>
    <mergeCell ref="A462:C462"/>
    <mergeCell ref="B148:E148"/>
    <mergeCell ref="A191:C191"/>
    <mergeCell ref="A198:C198"/>
    <mergeCell ref="A201:C201"/>
    <mergeCell ref="A213:C213"/>
    <mergeCell ref="A215:J215"/>
    <mergeCell ref="B199:E199"/>
    <mergeCell ref="A3:H3"/>
    <mergeCell ref="A6:C6"/>
    <mergeCell ref="A14:C14"/>
    <mergeCell ref="A20:C20"/>
    <mergeCell ref="B26:C26"/>
    <mergeCell ref="A97:C97"/>
    <mergeCell ref="A99:C99"/>
    <mergeCell ref="A58:C58"/>
    <mergeCell ref="A53:C53"/>
    <mergeCell ref="B67:E67"/>
    <mergeCell ref="B88:E88"/>
    <mergeCell ref="B64:E64"/>
    <mergeCell ref="A218:C218"/>
    <mergeCell ref="A222:C222"/>
    <mergeCell ref="A225:C225"/>
    <mergeCell ref="A355:C355"/>
    <mergeCell ref="A354:C354"/>
    <mergeCell ref="B246:E246"/>
    <mergeCell ref="A245:C245"/>
    <mergeCell ref="B251:E251"/>
    <mergeCell ref="B309:E309"/>
    <mergeCell ref="B320:E320"/>
  </mergeCells>
  <printOptions/>
  <pageMargins left="0.3937007874015748" right="0.3937007874015748" top="0.7086614173228347" bottom="0.6692913385826772" header="0.5118110236220472" footer="0.5118110236220472"/>
  <pageSetup horizontalDpi="300" verticalDpi="300" orientation="landscape" paperSize="9" r:id="rId1"/>
  <headerFooter alignWithMargins="0">
    <oddHeader>&amp;C&amp;"Arial Narrow,Pogrubiony"Sprawozdanie z realizacji Programu współpracay miasta Katowice z organizacjami pozarządowymi na rok 2007 za okres od 01.01.2007 r. do 31.12.2007 r.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8"/>
  <sheetViews>
    <sheetView zoomScale="120" zoomScaleNormal="120" workbookViewId="0" topLeftCell="A4">
      <selection activeCell="B25" sqref="B25:C25"/>
    </sheetView>
  </sheetViews>
  <sheetFormatPr defaultColWidth="9.140625" defaultRowHeight="12.75"/>
  <cols>
    <col min="1" max="1" width="4.140625" style="0" customWidth="1"/>
    <col min="2" max="2" width="22.140625" style="163" customWidth="1"/>
    <col min="3" max="3" width="23.7109375" style="163" customWidth="1"/>
    <col min="4" max="4" width="11.28125" style="163" customWidth="1"/>
    <col min="5" max="5" width="35.8515625" style="179" customWidth="1"/>
    <col min="6" max="9" width="9.140625" style="164" customWidth="1"/>
  </cols>
  <sheetData>
    <row r="1" spans="1:5" s="139" customFormat="1" ht="30" customHeight="1">
      <c r="A1" s="379" t="s">
        <v>273</v>
      </c>
      <c r="B1" s="343"/>
      <c r="C1" s="343"/>
      <c r="D1" s="343"/>
      <c r="E1" s="343"/>
    </row>
    <row r="2" spans="1:5" s="139" customFormat="1" ht="14.25" customHeight="1">
      <c r="A2" s="138"/>
      <c r="B2" s="171"/>
      <c r="C2" s="171"/>
      <c r="D2" s="171"/>
      <c r="E2" s="172"/>
    </row>
    <row r="3" spans="1:5" s="139" customFormat="1" ht="12.75">
      <c r="A3" s="140" t="s">
        <v>274</v>
      </c>
      <c r="B3" s="141"/>
      <c r="C3" s="141"/>
      <c r="D3" s="141"/>
      <c r="E3" s="141"/>
    </row>
    <row r="4" spans="1:5" s="139" customFormat="1" ht="12.75">
      <c r="A4" s="140"/>
      <c r="B4" s="141"/>
      <c r="C4" s="141"/>
      <c r="D4" s="141"/>
      <c r="E4" s="141"/>
    </row>
    <row r="5" spans="1:5" s="104" customFormat="1" ht="24" customHeight="1">
      <c r="A5" s="344" t="s">
        <v>815</v>
      </c>
      <c r="B5" s="345" t="s">
        <v>816</v>
      </c>
      <c r="C5" s="345" t="s">
        <v>356</v>
      </c>
      <c r="D5" s="345" t="s">
        <v>359</v>
      </c>
      <c r="E5" s="346" t="s">
        <v>275</v>
      </c>
    </row>
    <row r="6" spans="1:5" s="104" customFormat="1" ht="21" customHeight="1">
      <c r="A6" s="344"/>
      <c r="B6" s="345"/>
      <c r="C6" s="345"/>
      <c r="D6" s="345"/>
      <c r="E6" s="346"/>
    </row>
    <row r="7" spans="1:5" s="104" customFormat="1" ht="11.25">
      <c r="A7" s="347" t="s">
        <v>364</v>
      </c>
      <c r="B7" s="344"/>
      <c r="C7" s="344"/>
      <c r="D7" s="344"/>
      <c r="E7" s="344"/>
    </row>
    <row r="8" spans="1:5" s="144" customFormat="1" ht="11.25">
      <c r="A8" s="143" t="s">
        <v>365</v>
      </c>
      <c r="B8" s="348" t="s">
        <v>366</v>
      </c>
      <c r="C8" s="348"/>
      <c r="D8" s="143" t="s">
        <v>367</v>
      </c>
      <c r="E8" s="173"/>
    </row>
    <row r="9" spans="1:5" s="147" customFormat="1" ht="12" customHeight="1">
      <c r="A9" s="145"/>
      <c r="B9" s="146"/>
      <c r="C9" s="146"/>
      <c r="D9" s="145"/>
      <c r="E9" s="168" t="s">
        <v>293</v>
      </c>
    </row>
    <row r="10" spans="1:5" s="144" customFormat="1" ht="11.25">
      <c r="A10" s="143" t="s">
        <v>376</v>
      </c>
      <c r="B10" s="348" t="s">
        <v>377</v>
      </c>
      <c r="C10" s="348"/>
      <c r="D10" s="143" t="s">
        <v>367</v>
      </c>
      <c r="E10" s="173"/>
    </row>
    <row r="11" spans="1:5" s="148" customFormat="1" ht="22.5">
      <c r="A11" s="145" t="s">
        <v>280</v>
      </c>
      <c r="B11" s="145" t="s">
        <v>281</v>
      </c>
      <c r="C11" s="145" t="s">
        <v>285</v>
      </c>
      <c r="D11" s="145" t="s">
        <v>367</v>
      </c>
      <c r="E11" s="168" t="s">
        <v>282</v>
      </c>
    </row>
    <row r="12" spans="1:5" s="148" customFormat="1" ht="67.5">
      <c r="A12" s="145" t="s">
        <v>283</v>
      </c>
      <c r="B12" s="145" t="s">
        <v>284</v>
      </c>
      <c r="C12" s="145" t="s">
        <v>286</v>
      </c>
      <c r="D12" s="145" t="s">
        <v>367</v>
      </c>
      <c r="E12" s="168" t="s">
        <v>417</v>
      </c>
    </row>
    <row r="13" spans="1:5" s="144" customFormat="1" ht="11.25">
      <c r="A13" s="143" t="s">
        <v>387</v>
      </c>
      <c r="B13" s="348" t="s">
        <v>830</v>
      </c>
      <c r="C13" s="348"/>
      <c r="D13" s="143" t="s">
        <v>367</v>
      </c>
      <c r="E13" s="173"/>
    </row>
    <row r="14" spans="1:5" s="148" customFormat="1" ht="11.25">
      <c r="A14" s="145"/>
      <c r="B14" s="145"/>
      <c r="C14" s="145"/>
      <c r="D14" s="145"/>
      <c r="E14" s="168" t="s">
        <v>293</v>
      </c>
    </row>
    <row r="15" spans="1:5" s="149" customFormat="1" ht="21" customHeight="1">
      <c r="A15" s="143" t="s">
        <v>693</v>
      </c>
      <c r="B15" s="348" t="s">
        <v>805</v>
      </c>
      <c r="C15" s="311"/>
      <c r="D15" s="143" t="s">
        <v>367</v>
      </c>
      <c r="E15" s="173"/>
    </row>
    <row r="16" spans="1:5" s="150" customFormat="1" ht="11.25">
      <c r="A16" s="145"/>
      <c r="B16" s="145"/>
      <c r="C16" s="145"/>
      <c r="D16" s="145"/>
      <c r="E16" s="168" t="s">
        <v>293</v>
      </c>
    </row>
    <row r="17" spans="1:5" s="149" customFormat="1" ht="11.25">
      <c r="A17" s="143" t="s">
        <v>695</v>
      </c>
      <c r="B17" s="348" t="s">
        <v>807</v>
      </c>
      <c r="C17" s="348"/>
      <c r="D17" s="143" t="s">
        <v>367</v>
      </c>
      <c r="E17" s="173"/>
    </row>
    <row r="18" spans="1:5" s="150" customFormat="1" ht="11.25">
      <c r="A18" s="145"/>
      <c r="B18" s="145"/>
      <c r="C18" s="145"/>
      <c r="D18" s="145"/>
      <c r="E18" s="168" t="s">
        <v>293</v>
      </c>
    </row>
    <row r="19" spans="1:5" s="149" customFormat="1" ht="11.25">
      <c r="A19" s="143" t="s">
        <v>276</v>
      </c>
      <c r="B19" s="348" t="s">
        <v>809</v>
      </c>
      <c r="C19" s="312"/>
      <c r="D19" s="143" t="s">
        <v>367</v>
      </c>
      <c r="E19" s="173"/>
    </row>
    <row r="20" spans="1:5" s="150" customFormat="1" ht="11.25">
      <c r="A20" s="145"/>
      <c r="B20" s="145"/>
      <c r="C20" s="145"/>
      <c r="D20" s="145"/>
      <c r="E20" s="168" t="s">
        <v>293</v>
      </c>
    </row>
    <row r="21" spans="1:5" s="149" customFormat="1" ht="11.25">
      <c r="A21" s="143" t="s">
        <v>432</v>
      </c>
      <c r="B21" s="348" t="s">
        <v>433</v>
      </c>
      <c r="C21" s="348"/>
      <c r="D21" s="143" t="s">
        <v>367</v>
      </c>
      <c r="E21" s="173"/>
    </row>
    <row r="22" spans="1:5" s="149" customFormat="1" ht="11.25">
      <c r="A22" s="145"/>
      <c r="B22" s="145"/>
      <c r="C22" s="145"/>
      <c r="D22" s="145"/>
      <c r="E22" s="168" t="s">
        <v>293</v>
      </c>
    </row>
    <row r="23" spans="1:5" s="149" customFormat="1" ht="25.5" customHeight="1">
      <c r="A23" s="143" t="s">
        <v>931</v>
      </c>
      <c r="B23" s="348" t="s">
        <v>932</v>
      </c>
      <c r="C23" s="312"/>
      <c r="D23" s="143" t="s">
        <v>367</v>
      </c>
      <c r="E23" s="173"/>
    </row>
    <row r="24" spans="1:5" s="151" customFormat="1" ht="11.25">
      <c r="A24" s="145"/>
      <c r="B24" s="145"/>
      <c r="C24" s="145"/>
      <c r="D24" s="145"/>
      <c r="E24" s="168" t="s">
        <v>293</v>
      </c>
    </row>
    <row r="25" spans="1:5" s="152" customFormat="1" ht="11.25">
      <c r="A25" s="143" t="s">
        <v>64</v>
      </c>
      <c r="B25" s="348" t="s">
        <v>65</v>
      </c>
      <c r="C25" s="312"/>
      <c r="D25" s="143" t="s">
        <v>367</v>
      </c>
      <c r="E25" s="173"/>
    </row>
    <row r="26" spans="1:5" s="151" customFormat="1" ht="11.25">
      <c r="A26" s="145"/>
      <c r="B26" s="145"/>
      <c r="C26" s="145"/>
      <c r="D26" s="145"/>
      <c r="E26" s="168" t="s">
        <v>293</v>
      </c>
    </row>
    <row r="27" spans="1:5" s="152" customFormat="1" ht="24.75" customHeight="1">
      <c r="A27" s="143" t="s">
        <v>78</v>
      </c>
      <c r="B27" s="348" t="s">
        <v>810</v>
      </c>
      <c r="C27" s="312"/>
      <c r="D27" s="143" t="s">
        <v>367</v>
      </c>
      <c r="E27" s="173"/>
    </row>
    <row r="28" spans="1:5" s="152" customFormat="1" ht="11.25">
      <c r="A28" s="145"/>
      <c r="B28" s="145"/>
      <c r="C28" s="145"/>
      <c r="D28" s="145"/>
      <c r="E28" s="168" t="s">
        <v>293</v>
      </c>
    </row>
    <row r="29" spans="1:5" s="104" customFormat="1" ht="11.25">
      <c r="A29" s="347" t="s">
        <v>698</v>
      </c>
      <c r="B29" s="347"/>
      <c r="C29" s="347"/>
      <c r="D29" s="153"/>
      <c r="E29" s="174"/>
    </row>
    <row r="30" spans="1:5" s="104" customFormat="1" ht="54.75" customHeight="1">
      <c r="A30" s="154" t="s">
        <v>365</v>
      </c>
      <c r="B30" s="348" t="s">
        <v>178</v>
      </c>
      <c r="C30" s="312"/>
      <c r="D30" s="143" t="s">
        <v>179</v>
      </c>
      <c r="E30" s="175"/>
    </row>
    <row r="31" spans="1:5" s="157" customFormat="1" ht="11.25">
      <c r="A31" s="156"/>
      <c r="B31" s="145"/>
      <c r="C31" s="145"/>
      <c r="D31" s="145"/>
      <c r="E31" s="168" t="s">
        <v>293</v>
      </c>
    </row>
    <row r="32" spans="1:5" s="104" customFormat="1" ht="56.25">
      <c r="A32" s="143" t="s">
        <v>376</v>
      </c>
      <c r="B32" s="348" t="s">
        <v>221</v>
      </c>
      <c r="C32" s="312"/>
      <c r="D32" s="143" t="s">
        <v>222</v>
      </c>
      <c r="E32" s="173"/>
    </row>
    <row r="33" spans="1:5" s="104" customFormat="1" ht="67.5">
      <c r="A33" s="145">
        <v>1</v>
      </c>
      <c r="B33" s="145" t="s">
        <v>818</v>
      </c>
      <c r="C33" s="145" t="s">
        <v>819</v>
      </c>
      <c r="D33" s="168" t="s">
        <v>222</v>
      </c>
      <c r="E33" s="176" t="s">
        <v>817</v>
      </c>
    </row>
    <row r="34" spans="1:5" s="104" customFormat="1" ht="56.25">
      <c r="A34" s="143" t="s">
        <v>387</v>
      </c>
      <c r="B34" s="348" t="s">
        <v>236</v>
      </c>
      <c r="C34" s="312"/>
      <c r="D34" s="143" t="s">
        <v>222</v>
      </c>
      <c r="E34" s="173"/>
    </row>
    <row r="35" spans="1:5" s="104" customFormat="1" ht="11.25">
      <c r="A35" s="145"/>
      <c r="B35" s="158"/>
      <c r="C35" s="158"/>
      <c r="D35" s="145"/>
      <c r="E35" s="168" t="s">
        <v>293</v>
      </c>
    </row>
    <row r="36" spans="1:5" s="104" customFormat="1" ht="66" customHeight="1">
      <c r="A36" s="143" t="s">
        <v>693</v>
      </c>
      <c r="B36" s="348" t="s">
        <v>237</v>
      </c>
      <c r="C36" s="312"/>
      <c r="D36" s="143" t="s">
        <v>222</v>
      </c>
      <c r="E36" s="173"/>
    </row>
    <row r="37" spans="1:5" s="104" customFormat="1" ht="56.25">
      <c r="A37" s="145">
        <v>1</v>
      </c>
      <c r="B37" s="158" t="s">
        <v>540</v>
      </c>
      <c r="C37" s="146" t="s">
        <v>287</v>
      </c>
      <c r="D37" s="168" t="s">
        <v>222</v>
      </c>
      <c r="E37" s="168" t="s">
        <v>288</v>
      </c>
    </row>
    <row r="38" spans="1:5" s="104" customFormat="1" ht="56.25">
      <c r="A38" s="145">
        <v>2</v>
      </c>
      <c r="B38" s="158" t="s">
        <v>289</v>
      </c>
      <c r="C38" s="146" t="s">
        <v>820</v>
      </c>
      <c r="D38" s="168" t="s">
        <v>222</v>
      </c>
      <c r="E38" s="168" t="s">
        <v>290</v>
      </c>
    </row>
    <row r="39" spans="1:5" s="104" customFormat="1" ht="56.25">
      <c r="A39" s="145">
        <v>3</v>
      </c>
      <c r="B39" s="158" t="s">
        <v>291</v>
      </c>
      <c r="C39" s="145" t="s">
        <v>535</v>
      </c>
      <c r="D39" s="168" t="s">
        <v>222</v>
      </c>
      <c r="E39" s="168" t="s">
        <v>822</v>
      </c>
    </row>
    <row r="40" spans="1:5" s="104" customFormat="1" ht="56.25">
      <c r="A40" s="145">
        <v>4</v>
      </c>
      <c r="B40" s="158" t="s">
        <v>292</v>
      </c>
      <c r="C40" s="145" t="s">
        <v>535</v>
      </c>
      <c r="D40" s="168" t="s">
        <v>222</v>
      </c>
      <c r="E40" s="168" t="s">
        <v>822</v>
      </c>
    </row>
    <row r="41" spans="1:5" s="104" customFormat="1" ht="56.25">
      <c r="A41" s="145">
        <v>5</v>
      </c>
      <c r="B41" s="158" t="s">
        <v>525</v>
      </c>
      <c r="C41" s="146" t="s">
        <v>821</v>
      </c>
      <c r="D41" s="168" t="s">
        <v>222</v>
      </c>
      <c r="E41" s="168" t="s">
        <v>288</v>
      </c>
    </row>
    <row r="42" spans="1:5" s="152" customFormat="1" ht="11.25">
      <c r="A42" s="347" t="s">
        <v>771</v>
      </c>
      <c r="B42" s="312"/>
      <c r="C42" s="312"/>
      <c r="D42" s="142"/>
      <c r="E42" s="177"/>
    </row>
    <row r="43" spans="1:5" s="149" customFormat="1" ht="24" customHeight="1">
      <c r="A43" s="143" t="s">
        <v>365</v>
      </c>
      <c r="B43" s="348" t="s">
        <v>772</v>
      </c>
      <c r="C43" s="348"/>
      <c r="D43" s="143" t="s">
        <v>367</v>
      </c>
      <c r="E43" s="173"/>
    </row>
    <row r="44" spans="1:5" s="152" customFormat="1" ht="11.25">
      <c r="A44" s="145"/>
      <c r="B44" s="145"/>
      <c r="C44" s="145"/>
      <c r="D44" s="145"/>
      <c r="E44" s="168" t="s">
        <v>293</v>
      </c>
    </row>
    <row r="45" spans="1:5" s="152" customFormat="1" ht="11.25">
      <c r="A45" s="143" t="s">
        <v>376</v>
      </c>
      <c r="B45" s="348" t="s">
        <v>886</v>
      </c>
      <c r="C45" s="348"/>
      <c r="D45" s="143" t="s">
        <v>367</v>
      </c>
      <c r="E45" s="173"/>
    </row>
    <row r="46" spans="1:5" s="152" customFormat="1" ht="11.25">
      <c r="A46" s="145"/>
      <c r="B46" s="145"/>
      <c r="C46" s="145"/>
      <c r="D46" s="145"/>
      <c r="E46" s="168" t="s">
        <v>293</v>
      </c>
    </row>
    <row r="47" spans="1:5" s="152" customFormat="1" ht="24" customHeight="1">
      <c r="A47" s="143" t="s">
        <v>387</v>
      </c>
      <c r="B47" s="348" t="s">
        <v>892</v>
      </c>
      <c r="C47" s="348"/>
      <c r="D47" s="143" t="s">
        <v>367</v>
      </c>
      <c r="E47" s="173"/>
    </row>
    <row r="48" spans="1:5" s="152" customFormat="1" ht="11.25">
      <c r="A48" s="145"/>
      <c r="B48" s="146"/>
      <c r="C48" s="146"/>
      <c r="D48" s="145"/>
      <c r="E48" s="168" t="s">
        <v>293</v>
      </c>
    </row>
    <row r="49" spans="1:5" s="152" customFormat="1" ht="11.25">
      <c r="A49" s="347" t="s">
        <v>277</v>
      </c>
      <c r="B49" s="312"/>
      <c r="C49" s="312"/>
      <c r="D49" s="312"/>
      <c r="E49" s="312"/>
    </row>
    <row r="50" spans="1:5" s="152" customFormat="1" ht="33" customHeight="1">
      <c r="A50" s="143" t="s">
        <v>365</v>
      </c>
      <c r="B50" s="348" t="s">
        <v>240</v>
      </c>
      <c r="C50" s="348"/>
      <c r="D50" s="143" t="s">
        <v>367</v>
      </c>
      <c r="E50" s="173"/>
    </row>
    <row r="51" spans="1:5" s="150" customFormat="1" ht="11.25">
      <c r="A51" s="145"/>
      <c r="B51" s="146"/>
      <c r="C51" s="146"/>
      <c r="D51" s="145"/>
      <c r="E51" s="168" t="s">
        <v>293</v>
      </c>
    </row>
    <row r="52" spans="1:5" s="152" customFormat="1" ht="45" customHeight="1">
      <c r="A52" s="143" t="s">
        <v>376</v>
      </c>
      <c r="B52" s="348" t="s">
        <v>241</v>
      </c>
      <c r="C52" s="312"/>
      <c r="D52" s="143" t="s">
        <v>367</v>
      </c>
      <c r="E52" s="173"/>
    </row>
    <row r="53" spans="1:5" s="150" customFormat="1" ht="11.25">
      <c r="A53" s="145"/>
      <c r="B53" s="145"/>
      <c r="C53" s="145"/>
      <c r="D53" s="145"/>
      <c r="E53" s="168" t="s">
        <v>293</v>
      </c>
    </row>
    <row r="54" spans="1:5" s="152" customFormat="1" ht="21.75" customHeight="1">
      <c r="A54" s="143" t="s">
        <v>387</v>
      </c>
      <c r="B54" s="348" t="s">
        <v>812</v>
      </c>
      <c r="C54" s="312"/>
      <c r="D54" s="143" t="s">
        <v>367</v>
      </c>
      <c r="E54" s="173"/>
    </row>
    <row r="55" spans="1:5" s="152" customFormat="1" ht="11.25">
      <c r="A55" s="145"/>
      <c r="B55" s="145"/>
      <c r="C55" s="146"/>
      <c r="D55" s="145"/>
      <c r="E55" s="168" t="s">
        <v>293</v>
      </c>
    </row>
    <row r="56" spans="1:5" s="152" customFormat="1" ht="34.5" customHeight="1">
      <c r="A56" s="143" t="s">
        <v>693</v>
      </c>
      <c r="B56" s="348" t="s">
        <v>813</v>
      </c>
      <c r="C56" s="312"/>
      <c r="D56" s="143" t="s">
        <v>367</v>
      </c>
      <c r="E56" s="173"/>
    </row>
    <row r="57" spans="1:5" s="152" customFormat="1" ht="11.25">
      <c r="A57" s="145"/>
      <c r="B57" s="145"/>
      <c r="C57" s="146"/>
      <c r="D57" s="145"/>
      <c r="E57" s="168" t="s">
        <v>293</v>
      </c>
    </row>
    <row r="58" spans="1:5" s="104" customFormat="1" ht="9.75">
      <c r="A58" s="347" t="s">
        <v>279</v>
      </c>
      <c r="B58" s="312"/>
      <c r="C58" s="312"/>
      <c r="D58" s="312"/>
      <c r="E58" s="312"/>
    </row>
    <row r="59" spans="1:5" s="104" customFormat="1" ht="22.5">
      <c r="A59" s="143" t="s">
        <v>365</v>
      </c>
      <c r="B59" s="348" t="s">
        <v>390</v>
      </c>
      <c r="C59" s="348"/>
      <c r="D59" s="143" t="s">
        <v>394</v>
      </c>
      <c r="E59" s="173"/>
    </row>
    <row r="60" spans="1:5" s="104" customFormat="1" ht="11.25">
      <c r="A60" s="145"/>
      <c r="B60" s="145"/>
      <c r="C60" s="145"/>
      <c r="D60" s="145"/>
      <c r="E60" s="168" t="s">
        <v>293</v>
      </c>
    </row>
    <row r="61" spans="1:5" s="104" customFormat="1" ht="22.5">
      <c r="A61" s="143" t="s">
        <v>376</v>
      </c>
      <c r="B61" s="348" t="s">
        <v>389</v>
      </c>
      <c r="C61" s="348"/>
      <c r="D61" s="143" t="s">
        <v>394</v>
      </c>
      <c r="E61" s="173"/>
    </row>
    <row r="62" spans="1:5" s="104" customFormat="1" ht="11.25">
      <c r="A62" s="145"/>
      <c r="B62" s="145"/>
      <c r="C62" s="145"/>
      <c r="D62" s="145"/>
      <c r="E62" s="168" t="s">
        <v>293</v>
      </c>
    </row>
    <row r="63" spans="1:5" s="104" customFormat="1" ht="22.5">
      <c r="A63" s="143" t="s">
        <v>387</v>
      </c>
      <c r="B63" s="348" t="s">
        <v>388</v>
      </c>
      <c r="C63" s="312"/>
      <c r="D63" s="143" t="s">
        <v>394</v>
      </c>
      <c r="E63" s="173"/>
    </row>
    <row r="64" spans="1:5" s="104" customFormat="1" ht="11.25">
      <c r="A64" s="145"/>
      <c r="B64" s="145"/>
      <c r="C64" s="145"/>
      <c r="D64" s="145"/>
      <c r="E64" s="168" t="s">
        <v>293</v>
      </c>
    </row>
    <row r="65" spans="1:5" s="104" customFormat="1" ht="22.5">
      <c r="A65" s="143" t="s">
        <v>693</v>
      </c>
      <c r="B65" s="348" t="s">
        <v>391</v>
      </c>
      <c r="C65" s="348"/>
      <c r="D65" s="143" t="s">
        <v>394</v>
      </c>
      <c r="E65" s="173"/>
    </row>
    <row r="66" spans="1:5" s="104" customFormat="1" ht="11.25">
      <c r="A66" s="145"/>
      <c r="B66" s="145"/>
      <c r="C66" s="145"/>
      <c r="D66" s="145"/>
      <c r="E66" s="168" t="s">
        <v>293</v>
      </c>
    </row>
    <row r="67" spans="1:5" s="104" customFormat="1" ht="22.5">
      <c r="A67" s="143" t="s">
        <v>695</v>
      </c>
      <c r="B67" s="348" t="s">
        <v>393</v>
      </c>
      <c r="C67" s="348"/>
      <c r="D67" s="143" t="s">
        <v>394</v>
      </c>
      <c r="E67" s="173"/>
    </row>
    <row r="68" spans="1:5" s="104" customFormat="1" ht="11.25">
      <c r="A68" s="145"/>
      <c r="B68" s="145"/>
      <c r="C68" s="145"/>
      <c r="D68" s="145"/>
      <c r="E68" s="168" t="s">
        <v>293</v>
      </c>
    </row>
    <row r="69" spans="1:5" s="104" customFormat="1" ht="11.25">
      <c r="A69" s="146"/>
      <c r="B69" s="146"/>
      <c r="C69" s="146"/>
      <c r="D69" s="145"/>
      <c r="E69" s="168"/>
    </row>
    <row r="70" spans="1:5" s="104" customFormat="1" ht="9.75">
      <c r="A70" s="347" t="s">
        <v>225</v>
      </c>
      <c r="B70" s="312"/>
      <c r="C70" s="312"/>
      <c r="D70" s="312"/>
      <c r="E70" s="312"/>
    </row>
    <row r="71" spans="1:5" s="104" customFormat="1" ht="22.5">
      <c r="A71" s="143" t="s">
        <v>365</v>
      </c>
      <c r="B71" s="348" t="s">
        <v>226</v>
      </c>
      <c r="C71" s="312"/>
      <c r="D71" s="143" t="s">
        <v>394</v>
      </c>
      <c r="E71" s="173"/>
    </row>
    <row r="72" spans="1:5" s="159" customFormat="1" ht="11.25">
      <c r="A72" s="145"/>
      <c r="B72" s="145"/>
      <c r="C72" s="145"/>
      <c r="D72" s="145"/>
      <c r="E72" s="168" t="s">
        <v>293</v>
      </c>
    </row>
    <row r="73" spans="1:5" s="104" customFormat="1" ht="22.5">
      <c r="A73" s="143" t="s">
        <v>376</v>
      </c>
      <c r="B73" s="348" t="s">
        <v>521</v>
      </c>
      <c r="C73" s="312"/>
      <c r="D73" s="143" t="s">
        <v>394</v>
      </c>
      <c r="E73" s="173"/>
    </row>
    <row r="74" spans="1:5" s="104" customFormat="1" ht="33.75">
      <c r="A74" s="168">
        <v>1</v>
      </c>
      <c r="B74" s="168" t="s">
        <v>334</v>
      </c>
      <c r="C74" s="183" t="s">
        <v>335</v>
      </c>
      <c r="D74" s="158" t="s">
        <v>394</v>
      </c>
      <c r="E74" s="181" t="s">
        <v>341</v>
      </c>
    </row>
    <row r="75" spans="1:5" s="104" customFormat="1" ht="33.75">
      <c r="A75" s="168">
        <v>2</v>
      </c>
      <c r="B75" s="168" t="s">
        <v>824</v>
      </c>
      <c r="C75" s="184" t="s">
        <v>336</v>
      </c>
      <c r="D75" s="158" t="s">
        <v>394</v>
      </c>
      <c r="E75" s="181" t="s">
        <v>825</v>
      </c>
    </row>
    <row r="76" spans="1:5" s="104" customFormat="1" ht="33.75">
      <c r="A76" s="168">
        <v>3</v>
      </c>
      <c r="B76" s="168" t="s">
        <v>824</v>
      </c>
      <c r="C76" s="184" t="s">
        <v>337</v>
      </c>
      <c r="D76" s="158" t="s">
        <v>394</v>
      </c>
      <c r="E76" s="181" t="s">
        <v>826</v>
      </c>
    </row>
    <row r="77" spans="1:5" s="104" customFormat="1" ht="33.75">
      <c r="A77" s="168">
        <v>4</v>
      </c>
      <c r="B77" s="168" t="s">
        <v>824</v>
      </c>
      <c r="C77" s="184" t="s">
        <v>353</v>
      </c>
      <c r="D77" s="158" t="s">
        <v>394</v>
      </c>
      <c r="E77" s="181" t="s">
        <v>827</v>
      </c>
    </row>
    <row r="78" spans="1:5" s="104" customFormat="1" ht="33.75">
      <c r="A78" s="168">
        <v>5</v>
      </c>
      <c r="B78" s="168" t="s">
        <v>824</v>
      </c>
      <c r="C78" s="184" t="s">
        <v>338</v>
      </c>
      <c r="D78" s="158" t="s">
        <v>394</v>
      </c>
      <c r="E78" s="181" t="s">
        <v>828</v>
      </c>
    </row>
    <row r="79" spans="1:5" s="104" customFormat="1" ht="33.75">
      <c r="A79" s="168">
        <v>6</v>
      </c>
      <c r="B79" s="168" t="s">
        <v>824</v>
      </c>
      <c r="C79" s="184" t="s">
        <v>339</v>
      </c>
      <c r="D79" s="158" t="s">
        <v>394</v>
      </c>
      <c r="E79" s="181" t="s">
        <v>829</v>
      </c>
    </row>
    <row r="80" spans="1:5" s="104" customFormat="1" ht="33.75">
      <c r="A80" s="168">
        <v>7</v>
      </c>
      <c r="B80" s="168" t="s">
        <v>824</v>
      </c>
      <c r="C80" s="184" t="s">
        <v>340</v>
      </c>
      <c r="D80" s="158" t="s">
        <v>394</v>
      </c>
      <c r="E80" s="181" t="s">
        <v>333</v>
      </c>
    </row>
    <row r="81" spans="1:11" s="166" customFormat="1" ht="29.25" customHeight="1">
      <c r="A81" s="168">
        <v>8</v>
      </c>
      <c r="B81" s="185" t="s">
        <v>343</v>
      </c>
      <c r="C81" s="184" t="s">
        <v>344</v>
      </c>
      <c r="D81" s="158" t="s">
        <v>394</v>
      </c>
      <c r="E81" s="181" t="s">
        <v>823</v>
      </c>
      <c r="G81" s="164"/>
      <c r="H81" s="164"/>
      <c r="I81" s="164"/>
      <c r="J81"/>
      <c r="K81"/>
    </row>
    <row r="82" spans="1:11" s="166" customFormat="1" ht="27" customHeight="1">
      <c r="A82" s="168">
        <v>9</v>
      </c>
      <c r="B82" s="185" t="s">
        <v>343</v>
      </c>
      <c r="C82" s="183" t="s">
        <v>345</v>
      </c>
      <c r="D82" s="158" t="s">
        <v>394</v>
      </c>
      <c r="E82" s="181" t="s">
        <v>823</v>
      </c>
      <c r="G82" s="164"/>
      <c r="H82" s="164"/>
      <c r="I82" s="164"/>
      <c r="J82"/>
      <c r="K82"/>
    </row>
    <row r="83" spans="1:5" s="169" customFormat="1" ht="27" customHeight="1">
      <c r="A83" s="168">
        <v>10</v>
      </c>
      <c r="B83" s="185" t="s">
        <v>343</v>
      </c>
      <c r="C83" s="186" t="s">
        <v>346</v>
      </c>
      <c r="D83" s="158" t="s">
        <v>394</v>
      </c>
      <c r="E83" s="181" t="s">
        <v>823</v>
      </c>
    </row>
    <row r="84" spans="1:5" s="166" customFormat="1" ht="25.5" customHeight="1">
      <c r="A84" s="168">
        <v>11</v>
      </c>
      <c r="B84" s="185" t="s">
        <v>343</v>
      </c>
      <c r="C84" s="184" t="s">
        <v>347</v>
      </c>
      <c r="D84" s="158" t="s">
        <v>394</v>
      </c>
      <c r="E84" s="181" t="s">
        <v>823</v>
      </c>
    </row>
    <row r="85" spans="1:5" s="167" customFormat="1" ht="32.25" customHeight="1">
      <c r="A85" s="168">
        <v>12</v>
      </c>
      <c r="B85" s="185" t="s">
        <v>343</v>
      </c>
      <c r="C85" s="184" t="s">
        <v>348</v>
      </c>
      <c r="D85" s="158" t="s">
        <v>394</v>
      </c>
      <c r="E85" s="181" t="s">
        <v>823</v>
      </c>
    </row>
    <row r="86" spans="1:5" s="166" customFormat="1" ht="27" customHeight="1">
      <c r="A86" s="168">
        <v>13</v>
      </c>
      <c r="B86" s="185" t="s">
        <v>343</v>
      </c>
      <c r="C86" s="183" t="s">
        <v>349</v>
      </c>
      <c r="D86" s="158" t="s">
        <v>394</v>
      </c>
      <c r="E86" s="181" t="s">
        <v>823</v>
      </c>
    </row>
    <row r="87" spans="1:11" s="170" customFormat="1" ht="27" customHeight="1">
      <c r="A87" s="168">
        <v>14</v>
      </c>
      <c r="B87" s="185" t="s">
        <v>343</v>
      </c>
      <c r="C87" s="158" t="s">
        <v>342</v>
      </c>
      <c r="D87" s="158" t="s">
        <v>394</v>
      </c>
      <c r="E87" s="181" t="s">
        <v>823</v>
      </c>
      <c r="G87" s="164"/>
      <c r="H87" s="164"/>
      <c r="I87" s="164"/>
      <c r="J87"/>
      <c r="K87"/>
    </row>
    <row r="88" spans="1:5" s="104" customFormat="1" ht="22.5">
      <c r="A88" s="168">
        <v>15</v>
      </c>
      <c r="B88" s="185" t="s">
        <v>343</v>
      </c>
      <c r="C88" s="184" t="s">
        <v>352</v>
      </c>
      <c r="D88" s="158" t="s">
        <v>394</v>
      </c>
      <c r="E88" s="181" t="s">
        <v>826</v>
      </c>
    </row>
    <row r="89" spans="1:5" s="104" customFormat="1" ht="33.75">
      <c r="A89" s="168">
        <v>16</v>
      </c>
      <c r="B89" s="185" t="s">
        <v>343</v>
      </c>
      <c r="C89" s="184" t="s">
        <v>353</v>
      </c>
      <c r="D89" s="158" t="s">
        <v>394</v>
      </c>
      <c r="E89" s="181" t="s">
        <v>350</v>
      </c>
    </row>
    <row r="90" spans="1:5" s="104" customFormat="1" ht="45">
      <c r="A90" s="168">
        <v>17</v>
      </c>
      <c r="B90" s="185" t="s">
        <v>343</v>
      </c>
      <c r="C90" s="184" t="s">
        <v>354</v>
      </c>
      <c r="D90" s="158" t="s">
        <v>394</v>
      </c>
      <c r="E90" s="181" t="s">
        <v>351</v>
      </c>
    </row>
    <row r="91" spans="1:5" s="160" customFormat="1" ht="22.5">
      <c r="A91" s="143" t="s">
        <v>387</v>
      </c>
      <c r="B91" s="348" t="s">
        <v>306</v>
      </c>
      <c r="C91" s="312"/>
      <c r="D91" s="143" t="s">
        <v>394</v>
      </c>
      <c r="E91" s="173"/>
    </row>
    <row r="92" spans="1:5" s="160" customFormat="1" ht="45">
      <c r="A92" s="145">
        <v>1</v>
      </c>
      <c r="B92" s="185" t="s">
        <v>306</v>
      </c>
      <c r="C92" s="158" t="s">
        <v>355</v>
      </c>
      <c r="D92" s="158" t="s">
        <v>394</v>
      </c>
      <c r="E92" s="187" t="s">
        <v>418</v>
      </c>
    </row>
    <row r="93" spans="1:5" s="160" customFormat="1" ht="11.25">
      <c r="A93" s="145"/>
      <c r="B93" s="145"/>
      <c r="C93" s="145"/>
      <c r="D93" s="145"/>
      <c r="E93" s="168"/>
    </row>
    <row r="94" spans="1:5" s="161" customFormat="1" ht="11.25">
      <c r="A94" s="313" t="s">
        <v>798</v>
      </c>
      <c r="B94" s="314"/>
      <c r="C94" s="314"/>
      <c r="D94" s="314"/>
      <c r="E94" s="314"/>
    </row>
    <row r="95" spans="1:5" s="161" customFormat="1" ht="23.25" customHeight="1">
      <c r="A95" s="154" t="s">
        <v>365</v>
      </c>
      <c r="B95" s="348" t="s">
        <v>799</v>
      </c>
      <c r="C95" s="312"/>
      <c r="D95" s="155" t="s">
        <v>800</v>
      </c>
      <c r="E95" s="175"/>
    </row>
    <row r="96" spans="1:9" s="180" customFormat="1" ht="56.25">
      <c r="A96" s="178">
        <v>1</v>
      </c>
      <c r="B96" s="188" t="s">
        <v>758</v>
      </c>
      <c r="C96" s="181" t="s">
        <v>881</v>
      </c>
      <c r="D96" s="181" t="s">
        <v>800</v>
      </c>
      <c r="E96" s="181" t="s">
        <v>419</v>
      </c>
      <c r="F96" s="182"/>
      <c r="G96" s="182"/>
      <c r="H96" s="182"/>
      <c r="I96" s="182"/>
    </row>
    <row r="97" ht="27" customHeight="1">
      <c r="A97" s="162"/>
    </row>
    <row r="98" ht="12.75">
      <c r="A98" s="165"/>
    </row>
    <row r="101" ht="12.75" customHeight="1"/>
    <row r="102" ht="12.75" customHeight="1"/>
    <row r="103" ht="12.75" customHeight="1"/>
  </sheetData>
  <mergeCells count="43">
    <mergeCell ref="B95:C95"/>
    <mergeCell ref="B71:C71"/>
    <mergeCell ref="B73:C73"/>
    <mergeCell ref="B91:C91"/>
    <mergeCell ref="A94:E94"/>
    <mergeCell ref="B63:C63"/>
    <mergeCell ref="B65:C65"/>
    <mergeCell ref="B67:C67"/>
    <mergeCell ref="A70:E70"/>
    <mergeCell ref="B56:C56"/>
    <mergeCell ref="A58:E58"/>
    <mergeCell ref="B59:C59"/>
    <mergeCell ref="B61:C61"/>
    <mergeCell ref="A49:E49"/>
    <mergeCell ref="B50:C50"/>
    <mergeCell ref="B52:C52"/>
    <mergeCell ref="B54:C54"/>
    <mergeCell ref="A42:C42"/>
    <mergeCell ref="B43:C43"/>
    <mergeCell ref="B45:C45"/>
    <mergeCell ref="B47:C47"/>
    <mergeCell ref="B30:C30"/>
    <mergeCell ref="B32:C32"/>
    <mergeCell ref="B34:C34"/>
    <mergeCell ref="B36:C36"/>
    <mergeCell ref="B23:C23"/>
    <mergeCell ref="B25:C25"/>
    <mergeCell ref="B27:C27"/>
    <mergeCell ref="A29:C29"/>
    <mergeCell ref="B15:C15"/>
    <mergeCell ref="B17:C17"/>
    <mergeCell ref="B19:C19"/>
    <mergeCell ref="B21:C21"/>
    <mergeCell ref="A7:E7"/>
    <mergeCell ref="B8:C8"/>
    <mergeCell ref="B10:C10"/>
    <mergeCell ref="B13:C13"/>
    <mergeCell ref="A1:E1"/>
    <mergeCell ref="A5:A6"/>
    <mergeCell ref="B5:B6"/>
    <mergeCell ref="C5:C6"/>
    <mergeCell ref="D5:D6"/>
    <mergeCell ref="E5:E6"/>
  </mergeCells>
  <printOptions/>
  <pageMargins left="0.3937007874015748" right="0.3937007874015748" top="0.3937007874015748" bottom="0.7874015748031497" header="0.5118110236220472" footer="0.5118110236220472"/>
  <pageSetup horizontalDpi="300" verticalDpi="300" orientation="portrait" paperSize="9" r:id="rId1"/>
  <headerFooter alignWithMargins="0">
    <oddFooter>&amp;CStrona &amp;P</oddFooter>
  </headerFooter>
  <rowBreaks count="1" manualBreakCount="1">
    <brk id="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172"/>
  <sheetViews>
    <sheetView zoomScale="150" zoomScaleNormal="150" workbookViewId="0" topLeftCell="A165">
      <selection activeCell="A6" sqref="A6:I170"/>
    </sheetView>
  </sheetViews>
  <sheetFormatPr defaultColWidth="9.140625" defaultRowHeight="12.75"/>
  <cols>
    <col min="1" max="1" width="4.28125" style="0" customWidth="1"/>
    <col min="2" max="2" width="21.00390625" style="163" customWidth="1"/>
    <col min="3" max="3" width="21.57421875" style="0" customWidth="1"/>
    <col min="4" max="4" width="10.140625" style="0" customWidth="1"/>
    <col min="5" max="5" width="10.140625" style="222" customWidth="1"/>
    <col min="6" max="6" width="8.28125" style="221" customWidth="1"/>
    <col min="7" max="8" width="8.28125" style="223" customWidth="1"/>
    <col min="9" max="9" width="7.7109375" style="223" customWidth="1"/>
    <col min="10" max="16384" width="9.140625" style="164" customWidth="1"/>
  </cols>
  <sheetData>
    <row r="1" spans="1:9" s="233" customFormat="1" ht="30" customHeight="1">
      <c r="A1" s="325" t="s">
        <v>273</v>
      </c>
      <c r="B1" s="300"/>
      <c r="C1" s="300"/>
      <c r="D1" s="300"/>
      <c r="E1" s="300"/>
      <c r="F1" s="300"/>
      <c r="G1" s="300"/>
      <c r="H1" s="232"/>
      <c r="I1" s="232"/>
    </row>
    <row r="2" spans="1:9" s="233" customFormat="1" ht="14.25" customHeight="1">
      <c r="A2" s="230"/>
      <c r="B2" s="231"/>
      <c r="C2" s="231"/>
      <c r="D2" s="231"/>
      <c r="E2" s="234"/>
      <c r="F2" s="235"/>
      <c r="G2" s="236"/>
      <c r="H2" s="232"/>
      <c r="I2" s="232"/>
    </row>
    <row r="3" spans="1:9" s="233" customFormat="1" ht="12.75">
      <c r="A3" s="237" t="s">
        <v>10</v>
      </c>
      <c r="B3" s="238"/>
      <c r="C3" s="237"/>
      <c r="D3" s="237"/>
      <c r="E3" s="239"/>
      <c r="F3" s="240"/>
      <c r="G3" s="241"/>
      <c r="H3" s="241"/>
      <c r="I3" s="241"/>
    </row>
    <row r="4" spans="1:9" s="233" customFormat="1" ht="12.75">
      <c r="A4" s="237"/>
      <c r="B4" s="238"/>
      <c r="C4" s="237"/>
      <c r="D4" s="237"/>
      <c r="E4" s="239"/>
      <c r="F4" s="240"/>
      <c r="G4" s="241"/>
      <c r="H4" s="241"/>
      <c r="I4" s="241"/>
    </row>
    <row r="5" spans="1:9" s="233" customFormat="1" ht="12">
      <c r="A5" s="301" t="s">
        <v>238</v>
      </c>
      <c r="B5" s="301"/>
      <c r="C5" s="301"/>
      <c r="D5" s="301"/>
      <c r="E5" s="301"/>
      <c r="F5" s="301"/>
      <c r="G5" s="301"/>
      <c r="H5" s="301"/>
      <c r="I5" s="242"/>
    </row>
    <row r="6" spans="1:9" s="243" customFormat="1" ht="24" customHeight="1">
      <c r="A6" s="324" t="s">
        <v>815</v>
      </c>
      <c r="B6" s="302" t="s">
        <v>816</v>
      </c>
      <c r="C6" s="302" t="s">
        <v>356</v>
      </c>
      <c r="D6" s="302" t="s">
        <v>359</v>
      </c>
      <c r="E6" s="303" t="s">
        <v>11</v>
      </c>
      <c r="F6" s="302" t="s">
        <v>12</v>
      </c>
      <c r="G6" s="317"/>
      <c r="H6" s="302" t="s">
        <v>13</v>
      </c>
      <c r="I6" s="317"/>
    </row>
    <row r="7" spans="1:9" s="243" customFormat="1" ht="32.25" customHeight="1">
      <c r="A7" s="324"/>
      <c r="B7" s="302"/>
      <c r="C7" s="302"/>
      <c r="D7" s="302"/>
      <c r="E7" s="303"/>
      <c r="F7" s="244" t="s">
        <v>14</v>
      </c>
      <c r="G7" s="244" t="s">
        <v>15</v>
      </c>
      <c r="H7" s="244" t="s">
        <v>14</v>
      </c>
      <c r="I7" s="244" t="s">
        <v>15</v>
      </c>
    </row>
    <row r="8" spans="1:9" s="243" customFormat="1" ht="11.25">
      <c r="A8" s="321" t="s">
        <v>364</v>
      </c>
      <c r="B8" s="324"/>
      <c r="C8" s="324"/>
      <c r="D8" s="324"/>
      <c r="E8" s="324"/>
      <c r="F8" s="324"/>
      <c r="G8" s="324"/>
      <c r="H8" s="247"/>
      <c r="I8" s="247"/>
    </row>
    <row r="9" spans="1:10" s="252" customFormat="1" ht="11.25">
      <c r="A9" s="248" t="s">
        <v>365</v>
      </c>
      <c r="B9" s="315" t="s">
        <v>366</v>
      </c>
      <c r="C9" s="315"/>
      <c r="D9" s="248" t="s">
        <v>367</v>
      </c>
      <c r="E9" s="249">
        <f>SUM(E10:E22)</f>
        <v>1091549.95</v>
      </c>
      <c r="F9" s="249">
        <f>SUM(F10:F22)</f>
        <v>598419</v>
      </c>
      <c r="G9" s="250">
        <f>F9/E9</f>
        <v>0.5482286907713202</v>
      </c>
      <c r="H9" s="251">
        <f>SUM(H10:H22)</f>
        <v>493130.95</v>
      </c>
      <c r="I9" s="250">
        <f>H9/E9</f>
        <v>0.45177130922867986</v>
      </c>
      <c r="J9" s="326"/>
    </row>
    <row r="10" spans="1:9" s="256" customFormat="1" ht="33.75">
      <c r="A10" s="183">
        <v>1</v>
      </c>
      <c r="B10" s="183" t="s">
        <v>368</v>
      </c>
      <c r="C10" s="253" t="s">
        <v>585</v>
      </c>
      <c r="D10" s="183" t="s">
        <v>367</v>
      </c>
      <c r="E10" s="254">
        <v>2200</v>
      </c>
      <c r="F10" s="254">
        <v>2000</v>
      </c>
      <c r="G10" s="255">
        <f>F10/E10</f>
        <v>0.9090909090909091</v>
      </c>
      <c r="H10" s="254">
        <v>200</v>
      </c>
      <c r="I10" s="255">
        <f>H10/E10</f>
        <v>0.09090909090909091</v>
      </c>
    </row>
    <row r="11" spans="1:10" s="259" customFormat="1" ht="22.5">
      <c r="A11" s="257">
        <v>2</v>
      </c>
      <c r="B11" s="253" t="s">
        <v>370</v>
      </c>
      <c r="C11" s="253" t="s">
        <v>705</v>
      </c>
      <c r="D11" s="183" t="s">
        <v>367</v>
      </c>
      <c r="E11" s="258">
        <v>18750</v>
      </c>
      <c r="F11" s="254">
        <v>11250</v>
      </c>
      <c r="G11" s="255">
        <f aca="true" t="shared" si="0" ref="G11:G28">F11/E11</f>
        <v>0.6</v>
      </c>
      <c r="H11" s="258">
        <f>E11-F11</f>
        <v>7500</v>
      </c>
      <c r="I11" s="255">
        <f aca="true" t="shared" si="1" ref="I11:I28">H11/E11</f>
        <v>0.4</v>
      </c>
      <c r="J11" s="327"/>
    </row>
    <row r="12" spans="1:10" s="259" customFormat="1" ht="22.5">
      <c r="A12" s="183">
        <v>3</v>
      </c>
      <c r="B12" s="253" t="s">
        <v>370</v>
      </c>
      <c r="C12" s="253" t="s">
        <v>705</v>
      </c>
      <c r="D12" s="183" t="s">
        <v>367</v>
      </c>
      <c r="E12" s="258">
        <v>56250</v>
      </c>
      <c r="F12" s="254">
        <v>33750</v>
      </c>
      <c r="G12" s="255">
        <f t="shared" si="0"/>
        <v>0.6</v>
      </c>
      <c r="H12" s="258">
        <f aca="true" t="shared" si="2" ref="H12:H22">E12-F12</f>
        <v>22500</v>
      </c>
      <c r="I12" s="255">
        <f t="shared" si="1"/>
        <v>0.4</v>
      </c>
      <c r="J12" s="327"/>
    </row>
    <row r="13" spans="1:10" s="259" customFormat="1" ht="33.75">
      <c r="A13" s="257">
        <v>4</v>
      </c>
      <c r="B13" s="253" t="s">
        <v>370</v>
      </c>
      <c r="C13" s="253" t="s">
        <v>586</v>
      </c>
      <c r="D13" s="183" t="s">
        <v>367</v>
      </c>
      <c r="E13" s="258">
        <v>109230</v>
      </c>
      <c r="F13" s="254">
        <v>71175</v>
      </c>
      <c r="G13" s="255">
        <f t="shared" si="0"/>
        <v>0.651606701455644</v>
      </c>
      <c r="H13" s="258">
        <f t="shared" si="2"/>
        <v>38055</v>
      </c>
      <c r="I13" s="255">
        <f t="shared" si="1"/>
        <v>0.34839329854435597</v>
      </c>
      <c r="J13" s="327"/>
    </row>
    <row r="14" spans="1:10" s="259" customFormat="1" ht="22.5">
      <c r="A14" s="183">
        <v>5</v>
      </c>
      <c r="B14" s="253" t="s">
        <v>371</v>
      </c>
      <c r="C14" s="253" t="s">
        <v>998</v>
      </c>
      <c r="D14" s="183" t="s">
        <v>367</v>
      </c>
      <c r="E14" s="258">
        <v>176969.77</v>
      </c>
      <c r="F14" s="260">
        <v>97420</v>
      </c>
      <c r="G14" s="255">
        <f t="shared" si="0"/>
        <v>0.5504894988562171</v>
      </c>
      <c r="H14" s="258">
        <f>E14-F14</f>
        <v>79549.76999999999</v>
      </c>
      <c r="I14" s="255">
        <f t="shared" si="1"/>
        <v>0.4495105011437829</v>
      </c>
      <c r="J14" s="327"/>
    </row>
    <row r="15" spans="1:10" s="259" customFormat="1" ht="22.5">
      <c r="A15" s="257">
        <v>6</v>
      </c>
      <c r="B15" s="253" t="s">
        <v>371</v>
      </c>
      <c r="C15" s="253" t="s">
        <v>584</v>
      </c>
      <c r="D15" s="183" t="s">
        <v>367</v>
      </c>
      <c r="E15" s="258">
        <v>202902.14</v>
      </c>
      <c r="F15" s="260">
        <v>96258</v>
      </c>
      <c r="G15" s="255">
        <f t="shared" si="0"/>
        <v>0.47440603632864586</v>
      </c>
      <c r="H15" s="258">
        <f t="shared" si="2"/>
        <v>106644.14000000001</v>
      </c>
      <c r="I15" s="255">
        <f t="shared" si="1"/>
        <v>0.5255939636713541</v>
      </c>
      <c r="J15" s="327"/>
    </row>
    <row r="16" spans="1:10" s="259" customFormat="1" ht="22.5">
      <c r="A16" s="183">
        <v>7</v>
      </c>
      <c r="B16" s="253" t="s">
        <v>371</v>
      </c>
      <c r="C16" s="253" t="s">
        <v>878</v>
      </c>
      <c r="D16" s="183" t="s">
        <v>367</v>
      </c>
      <c r="E16" s="258">
        <v>92200</v>
      </c>
      <c r="F16" s="260">
        <v>65626</v>
      </c>
      <c r="G16" s="255">
        <f t="shared" si="0"/>
        <v>0.7117787418655097</v>
      </c>
      <c r="H16" s="258">
        <f t="shared" si="2"/>
        <v>26574</v>
      </c>
      <c r="I16" s="255">
        <f t="shared" si="1"/>
        <v>0.28822125813449023</v>
      </c>
      <c r="J16" s="327"/>
    </row>
    <row r="17" spans="1:10" s="259" customFormat="1" ht="22.5">
      <c r="A17" s="257">
        <v>8</v>
      </c>
      <c r="B17" s="253" t="s">
        <v>371</v>
      </c>
      <c r="C17" s="253" t="s">
        <v>587</v>
      </c>
      <c r="D17" s="183" t="s">
        <v>367</v>
      </c>
      <c r="E17" s="258">
        <v>134360</v>
      </c>
      <c r="F17" s="260">
        <v>60177</v>
      </c>
      <c r="G17" s="255">
        <f t="shared" si="0"/>
        <v>0.4478788329860077</v>
      </c>
      <c r="H17" s="258">
        <f t="shared" si="2"/>
        <v>74183</v>
      </c>
      <c r="I17" s="255">
        <f t="shared" si="1"/>
        <v>0.5521211670139923</v>
      </c>
      <c r="J17" s="327"/>
    </row>
    <row r="18" spans="1:10" s="259" customFormat="1" ht="22.5">
      <c r="A18" s="183">
        <v>9</v>
      </c>
      <c r="B18" s="253" t="s">
        <v>373</v>
      </c>
      <c r="C18" s="253" t="s">
        <v>374</v>
      </c>
      <c r="D18" s="183" t="s">
        <v>367</v>
      </c>
      <c r="E18" s="258">
        <v>7164.22</v>
      </c>
      <c r="F18" s="260">
        <v>2400</v>
      </c>
      <c r="G18" s="255">
        <f t="shared" si="0"/>
        <v>0.33499808771924927</v>
      </c>
      <c r="H18" s="258">
        <f t="shared" si="2"/>
        <v>4764.22</v>
      </c>
      <c r="I18" s="255">
        <f t="shared" si="1"/>
        <v>0.6650019122807508</v>
      </c>
      <c r="J18" s="327"/>
    </row>
    <row r="19" spans="1:10" s="259" customFormat="1" ht="22.5">
      <c r="A19" s="257">
        <v>10</v>
      </c>
      <c r="B19" s="253" t="s">
        <v>371</v>
      </c>
      <c r="C19" s="253" t="s">
        <v>588</v>
      </c>
      <c r="D19" s="183" t="s">
        <v>367</v>
      </c>
      <c r="E19" s="258">
        <v>177360</v>
      </c>
      <c r="F19" s="254">
        <v>96910</v>
      </c>
      <c r="G19" s="255">
        <f t="shared" si="0"/>
        <v>0.546402796571944</v>
      </c>
      <c r="H19" s="258">
        <f t="shared" si="2"/>
        <v>80450</v>
      </c>
      <c r="I19" s="255">
        <f t="shared" si="1"/>
        <v>0.45359720342805593</v>
      </c>
      <c r="J19" s="327"/>
    </row>
    <row r="20" spans="1:10" s="259" customFormat="1" ht="22.5">
      <c r="A20" s="183">
        <v>11</v>
      </c>
      <c r="B20" s="253" t="s">
        <v>371</v>
      </c>
      <c r="C20" s="253" t="s">
        <v>705</v>
      </c>
      <c r="D20" s="183" t="s">
        <v>367</v>
      </c>
      <c r="E20" s="258">
        <v>71070</v>
      </c>
      <c r="F20" s="260">
        <v>50688</v>
      </c>
      <c r="G20" s="255">
        <f t="shared" si="0"/>
        <v>0.713212325875897</v>
      </c>
      <c r="H20" s="258">
        <f t="shared" si="2"/>
        <v>20382</v>
      </c>
      <c r="I20" s="255">
        <f t="shared" si="1"/>
        <v>0.286787674124103</v>
      </c>
      <c r="J20" s="327"/>
    </row>
    <row r="21" spans="1:10" s="259" customFormat="1" ht="22.5">
      <c r="A21" s="257">
        <v>12</v>
      </c>
      <c r="B21" s="253" t="s">
        <v>371</v>
      </c>
      <c r="C21" s="253" t="s">
        <v>589</v>
      </c>
      <c r="D21" s="183" t="s">
        <v>367</v>
      </c>
      <c r="E21" s="258">
        <v>13700</v>
      </c>
      <c r="F21" s="254">
        <v>3200</v>
      </c>
      <c r="G21" s="255">
        <f t="shared" si="0"/>
        <v>0.23357664233576642</v>
      </c>
      <c r="H21" s="258">
        <f t="shared" si="2"/>
        <v>10500</v>
      </c>
      <c r="I21" s="255">
        <f t="shared" si="1"/>
        <v>0.7664233576642335</v>
      </c>
      <c r="J21" s="327"/>
    </row>
    <row r="22" spans="1:10" s="259" customFormat="1" ht="22.5">
      <c r="A22" s="183">
        <v>13</v>
      </c>
      <c r="B22" s="253" t="s">
        <v>371</v>
      </c>
      <c r="C22" s="253" t="s">
        <v>590</v>
      </c>
      <c r="D22" s="183" t="s">
        <v>367</v>
      </c>
      <c r="E22" s="258">
        <v>29393.82</v>
      </c>
      <c r="F22" s="254">
        <v>7565</v>
      </c>
      <c r="G22" s="255">
        <f t="shared" si="0"/>
        <v>0.25736702476915213</v>
      </c>
      <c r="H22" s="258">
        <f t="shared" si="2"/>
        <v>21828.82</v>
      </c>
      <c r="I22" s="255">
        <f t="shared" si="1"/>
        <v>0.7426329752308478</v>
      </c>
      <c r="J22" s="327"/>
    </row>
    <row r="23" spans="1:10" s="252" customFormat="1" ht="11.25">
      <c r="A23" s="248" t="s">
        <v>376</v>
      </c>
      <c r="B23" s="315" t="s">
        <v>377</v>
      </c>
      <c r="C23" s="315"/>
      <c r="D23" s="248" t="s">
        <v>367</v>
      </c>
      <c r="E23" s="249">
        <f>SUM(E24:E28)</f>
        <v>90374.95</v>
      </c>
      <c r="F23" s="249">
        <f>SUM(F24:F28)</f>
        <v>72434</v>
      </c>
      <c r="G23" s="250">
        <f>F23/E23</f>
        <v>0.8014831543475266</v>
      </c>
      <c r="H23" s="251">
        <f>SUM(H24:H28)</f>
        <v>17940.949999999993</v>
      </c>
      <c r="I23" s="250">
        <f>H23/E23</f>
        <v>0.19851684565247332</v>
      </c>
      <c r="J23" s="326"/>
    </row>
    <row r="24" spans="1:10" s="259" customFormat="1" ht="22.5">
      <c r="A24" s="257">
        <v>1</v>
      </c>
      <c r="B24" s="257" t="s">
        <v>591</v>
      </c>
      <c r="C24" s="257" t="s">
        <v>594</v>
      </c>
      <c r="D24" s="257" t="s">
        <v>367</v>
      </c>
      <c r="E24" s="258">
        <v>36076.02</v>
      </c>
      <c r="F24" s="261">
        <v>32675</v>
      </c>
      <c r="G24" s="255">
        <f t="shared" si="0"/>
        <v>0.905726296858689</v>
      </c>
      <c r="H24" s="258">
        <f>E24-F24</f>
        <v>3401.019999999997</v>
      </c>
      <c r="I24" s="255">
        <f t="shared" si="1"/>
        <v>0.09427370314131096</v>
      </c>
      <c r="J24" s="326"/>
    </row>
    <row r="25" spans="1:10" s="259" customFormat="1" ht="22.5">
      <c r="A25" s="257">
        <v>2</v>
      </c>
      <c r="B25" s="257" t="s">
        <v>592</v>
      </c>
      <c r="C25" s="257" t="s">
        <v>285</v>
      </c>
      <c r="D25" s="257" t="s">
        <v>367</v>
      </c>
      <c r="E25" s="258">
        <v>4292.4</v>
      </c>
      <c r="F25" s="261">
        <v>3992</v>
      </c>
      <c r="G25" s="255">
        <f t="shared" si="0"/>
        <v>0.9300158419532197</v>
      </c>
      <c r="H25" s="258">
        <f>E25-F25</f>
        <v>300.39999999999964</v>
      </c>
      <c r="I25" s="255">
        <f t="shared" si="1"/>
        <v>0.06998415804678028</v>
      </c>
      <c r="J25" s="326"/>
    </row>
    <row r="26" spans="1:10" s="259" customFormat="1" ht="22.5">
      <c r="A26" s="257">
        <v>3</v>
      </c>
      <c r="B26" s="257" t="s">
        <v>593</v>
      </c>
      <c r="C26" s="257" t="s">
        <v>883</v>
      </c>
      <c r="D26" s="257" t="s">
        <v>367</v>
      </c>
      <c r="E26" s="258">
        <v>7841.2</v>
      </c>
      <c r="F26" s="261">
        <v>6320</v>
      </c>
      <c r="G26" s="255">
        <f t="shared" si="0"/>
        <v>0.805999081773198</v>
      </c>
      <c r="H26" s="258">
        <f>E26-F26</f>
        <v>1521.1999999999998</v>
      </c>
      <c r="I26" s="255">
        <f t="shared" si="1"/>
        <v>0.194000918226802</v>
      </c>
      <c r="J26" s="326"/>
    </row>
    <row r="27" spans="1:10" s="259" customFormat="1" ht="45">
      <c r="A27" s="257">
        <v>4</v>
      </c>
      <c r="B27" s="257" t="s">
        <v>378</v>
      </c>
      <c r="C27" s="257" t="s">
        <v>379</v>
      </c>
      <c r="D27" s="257" t="s">
        <v>367</v>
      </c>
      <c r="E27" s="258">
        <v>25036.67</v>
      </c>
      <c r="F27" s="258">
        <v>13770</v>
      </c>
      <c r="G27" s="255">
        <f t="shared" si="0"/>
        <v>0.5499932698717521</v>
      </c>
      <c r="H27" s="258">
        <f>E27-F27</f>
        <v>11266.669999999998</v>
      </c>
      <c r="I27" s="255">
        <f t="shared" si="1"/>
        <v>0.4500067301282478</v>
      </c>
      <c r="J27" s="326"/>
    </row>
    <row r="28" spans="1:10" s="259" customFormat="1" ht="45">
      <c r="A28" s="257">
        <v>5</v>
      </c>
      <c r="B28" s="257" t="s">
        <v>382</v>
      </c>
      <c r="C28" s="257" t="s">
        <v>383</v>
      </c>
      <c r="D28" s="257" t="s">
        <v>367</v>
      </c>
      <c r="E28" s="258">
        <v>17128.66</v>
      </c>
      <c r="F28" s="258">
        <v>15677</v>
      </c>
      <c r="G28" s="255">
        <f t="shared" si="0"/>
        <v>0.9152496459150921</v>
      </c>
      <c r="H28" s="258">
        <f>E28-F28</f>
        <v>1451.6599999999999</v>
      </c>
      <c r="I28" s="255">
        <f t="shared" si="1"/>
        <v>0.08475035408490798</v>
      </c>
      <c r="J28" s="326"/>
    </row>
    <row r="29" spans="1:10" s="252" customFormat="1" ht="11.25">
      <c r="A29" s="248" t="s">
        <v>387</v>
      </c>
      <c r="B29" s="315" t="s">
        <v>830</v>
      </c>
      <c r="C29" s="315"/>
      <c r="D29" s="248" t="s">
        <v>367</v>
      </c>
      <c r="E29" s="249">
        <f>SUM(E30:E39)</f>
        <v>675282.19</v>
      </c>
      <c r="F29" s="249">
        <f>SUM(F30:F39)</f>
        <v>307681</v>
      </c>
      <c r="G29" s="250">
        <f>F29/E29</f>
        <v>0.45563322201641365</v>
      </c>
      <c r="H29" s="251">
        <f>SUM(H30:H39)</f>
        <v>367601.19</v>
      </c>
      <c r="I29" s="250">
        <f>H29/E29</f>
        <v>0.5443667779835865</v>
      </c>
      <c r="J29" s="326"/>
    </row>
    <row r="30" spans="1:10" s="259" customFormat="1" ht="45">
      <c r="A30" s="257">
        <v>1</v>
      </c>
      <c r="B30" s="253" t="s">
        <v>831</v>
      </c>
      <c r="C30" s="253" t="s">
        <v>719</v>
      </c>
      <c r="D30" s="257" t="s">
        <v>367</v>
      </c>
      <c r="E30" s="258">
        <v>12096</v>
      </c>
      <c r="F30" s="254">
        <v>8400</v>
      </c>
      <c r="G30" s="258">
        <f>100-I30</f>
        <v>69.44444444444444</v>
      </c>
      <c r="H30" s="258">
        <f>E30-F30</f>
        <v>3696</v>
      </c>
      <c r="I30" s="258">
        <f>H30/E30%</f>
        <v>30.555555555555557</v>
      </c>
      <c r="J30" s="328"/>
    </row>
    <row r="31" spans="1:10" s="259" customFormat="1" ht="22.5">
      <c r="A31" s="257">
        <v>2</v>
      </c>
      <c r="B31" s="253" t="s">
        <v>833</v>
      </c>
      <c r="C31" s="253" t="s">
        <v>720</v>
      </c>
      <c r="D31" s="257" t="s">
        <v>367</v>
      </c>
      <c r="E31" s="258">
        <v>39044.84</v>
      </c>
      <c r="F31" s="254">
        <v>24600</v>
      </c>
      <c r="G31" s="258">
        <f>100-I31</f>
        <v>63.00448407523248</v>
      </c>
      <c r="H31" s="258">
        <f>E31-F31</f>
        <v>14444.839999999997</v>
      </c>
      <c r="I31" s="258">
        <f>H31/E31%</f>
        <v>36.99551592476752</v>
      </c>
      <c r="J31" s="328"/>
    </row>
    <row r="32" spans="1:10" s="259" customFormat="1" ht="67.5">
      <c r="A32" s="257">
        <v>3</v>
      </c>
      <c r="B32" s="253" t="s">
        <v>595</v>
      </c>
      <c r="C32" s="253" t="s">
        <v>213</v>
      </c>
      <c r="D32" s="257" t="s">
        <v>367</v>
      </c>
      <c r="E32" s="258">
        <v>68660.98</v>
      </c>
      <c r="F32" s="254">
        <v>48000</v>
      </c>
      <c r="G32" s="258">
        <f>100-I32</f>
        <v>69.9087021478575</v>
      </c>
      <c r="H32" s="258">
        <f>E32-F32</f>
        <v>20660.979999999996</v>
      </c>
      <c r="I32" s="258">
        <f>H32/E32%</f>
        <v>30.09129785214251</v>
      </c>
      <c r="J32" s="328"/>
    </row>
    <row r="33" spans="1:10" s="259" customFormat="1" ht="22.5">
      <c r="A33" s="257">
        <v>4</v>
      </c>
      <c r="B33" s="253" t="s">
        <v>835</v>
      </c>
      <c r="C33" s="253" t="s">
        <v>596</v>
      </c>
      <c r="D33" s="257" t="s">
        <v>367</v>
      </c>
      <c r="E33" s="258">
        <v>34443.37</v>
      </c>
      <c r="F33" s="254">
        <v>21421</v>
      </c>
      <c r="G33" s="258">
        <f>100-I33</f>
        <v>62.19193998728928</v>
      </c>
      <c r="H33" s="258">
        <f>E33-F33</f>
        <v>13022.370000000003</v>
      </c>
      <c r="I33" s="258">
        <f>H33/E33%</f>
        <v>37.80806001271072</v>
      </c>
      <c r="J33" s="328"/>
    </row>
    <row r="34" spans="1:10" s="259" customFormat="1" ht="51.75" customHeight="1">
      <c r="A34" s="257">
        <v>5</v>
      </c>
      <c r="B34" s="257" t="s">
        <v>836</v>
      </c>
      <c r="C34" s="257" t="s">
        <v>837</v>
      </c>
      <c r="D34" s="257" t="s">
        <v>367</v>
      </c>
      <c r="E34" s="258">
        <v>35150</v>
      </c>
      <c r="F34" s="258">
        <v>17540</v>
      </c>
      <c r="G34" s="262">
        <f aca="true" t="shared" si="3" ref="G34:G39">F34/E34</f>
        <v>0.49900426742532006</v>
      </c>
      <c r="H34" s="258">
        <f aca="true" t="shared" si="4" ref="H34:H39">E34-F34</f>
        <v>17610</v>
      </c>
      <c r="I34" s="262">
        <f aca="true" t="shared" si="5" ref="I34:I39">H34/E34</f>
        <v>0.50099573257468</v>
      </c>
      <c r="J34" s="328"/>
    </row>
    <row r="35" spans="1:10" s="259" customFormat="1" ht="50.25" customHeight="1">
      <c r="A35" s="257">
        <v>6</v>
      </c>
      <c r="B35" s="257" t="s">
        <v>840</v>
      </c>
      <c r="C35" s="257" t="s">
        <v>841</v>
      </c>
      <c r="D35" s="257" t="s">
        <v>367</v>
      </c>
      <c r="E35" s="258">
        <v>200000</v>
      </c>
      <c r="F35" s="258">
        <v>72000</v>
      </c>
      <c r="G35" s="262">
        <f t="shared" si="3"/>
        <v>0.36</v>
      </c>
      <c r="H35" s="258">
        <f t="shared" si="4"/>
        <v>128000</v>
      </c>
      <c r="I35" s="262">
        <f t="shared" si="5"/>
        <v>0.64</v>
      </c>
      <c r="J35" s="328"/>
    </row>
    <row r="36" spans="1:10" s="259" customFormat="1" ht="33.75">
      <c r="A36" s="257">
        <v>7</v>
      </c>
      <c r="B36" s="257" t="s">
        <v>843</v>
      </c>
      <c r="C36" s="257" t="s">
        <v>844</v>
      </c>
      <c r="D36" s="257" t="s">
        <v>367</v>
      </c>
      <c r="E36" s="258">
        <v>50800</v>
      </c>
      <c r="F36" s="258">
        <v>20411</v>
      </c>
      <c r="G36" s="262">
        <f t="shared" si="3"/>
        <v>0.4017913385826772</v>
      </c>
      <c r="H36" s="258">
        <f t="shared" si="4"/>
        <v>30389</v>
      </c>
      <c r="I36" s="262">
        <f t="shared" si="5"/>
        <v>0.5982086614173229</v>
      </c>
      <c r="J36" s="328"/>
    </row>
    <row r="37" spans="1:10" s="259" customFormat="1" ht="33.75">
      <c r="A37" s="257">
        <v>8</v>
      </c>
      <c r="B37" s="257" t="s">
        <v>845</v>
      </c>
      <c r="C37" s="257" t="s">
        <v>846</v>
      </c>
      <c r="D37" s="257" t="s">
        <v>367</v>
      </c>
      <c r="E37" s="258">
        <v>210480</v>
      </c>
      <c r="F37" s="258">
        <v>80000</v>
      </c>
      <c r="G37" s="262">
        <f t="shared" si="3"/>
        <v>0.38008361839604715</v>
      </c>
      <c r="H37" s="258">
        <f t="shared" si="4"/>
        <v>130480</v>
      </c>
      <c r="I37" s="262">
        <f t="shared" si="5"/>
        <v>0.6199163816039529</v>
      </c>
      <c r="J37" s="328"/>
    </row>
    <row r="38" spans="1:10" s="259" customFormat="1" ht="33.75">
      <c r="A38" s="257">
        <v>9</v>
      </c>
      <c r="B38" s="257" t="s">
        <v>845</v>
      </c>
      <c r="C38" s="257" t="s">
        <v>379</v>
      </c>
      <c r="D38" s="257" t="s">
        <v>367</v>
      </c>
      <c r="E38" s="258">
        <v>18330</v>
      </c>
      <c r="F38" s="258">
        <v>9400</v>
      </c>
      <c r="G38" s="262">
        <f t="shared" si="3"/>
        <v>0.5128205128205128</v>
      </c>
      <c r="H38" s="258">
        <f t="shared" si="4"/>
        <v>8930</v>
      </c>
      <c r="I38" s="262">
        <f t="shared" si="5"/>
        <v>0.48717948717948717</v>
      </c>
      <c r="J38" s="328"/>
    </row>
    <row r="39" spans="1:9" s="243" customFormat="1" ht="33.75">
      <c r="A39" s="257">
        <v>10</v>
      </c>
      <c r="B39" s="257" t="s">
        <v>845</v>
      </c>
      <c r="C39" s="257" t="s">
        <v>597</v>
      </c>
      <c r="D39" s="257" t="s">
        <v>367</v>
      </c>
      <c r="E39" s="258">
        <v>6277</v>
      </c>
      <c r="F39" s="258">
        <v>5909</v>
      </c>
      <c r="G39" s="262">
        <f t="shared" si="3"/>
        <v>0.9413732674844671</v>
      </c>
      <c r="H39" s="258">
        <f t="shared" si="4"/>
        <v>368</v>
      </c>
      <c r="I39" s="262">
        <f t="shared" si="5"/>
        <v>0.058626732515532895</v>
      </c>
    </row>
    <row r="40" spans="1:10" s="263" customFormat="1" ht="25.5" customHeight="1">
      <c r="A40" s="248" t="s">
        <v>931</v>
      </c>
      <c r="B40" s="315" t="s">
        <v>932</v>
      </c>
      <c r="C40" s="317"/>
      <c r="D40" s="248" t="s">
        <v>367</v>
      </c>
      <c r="E40" s="249">
        <f>SUM(E41:E42)</f>
        <v>416540</v>
      </c>
      <c r="F40" s="249">
        <f>SUM(F41:F42)</f>
        <v>416540</v>
      </c>
      <c r="G40" s="250">
        <f>F40/E40</f>
        <v>1</v>
      </c>
      <c r="H40" s="251">
        <f>SUM(H41:H42)</f>
        <v>0</v>
      </c>
      <c r="I40" s="250">
        <f>H40/E40</f>
        <v>0</v>
      </c>
      <c r="J40" s="326"/>
    </row>
    <row r="41" spans="1:10" s="264" customFormat="1" ht="33.75">
      <c r="A41" s="257">
        <v>1</v>
      </c>
      <c r="B41" s="257" t="s">
        <v>932</v>
      </c>
      <c r="C41" s="257" t="s">
        <v>933</v>
      </c>
      <c r="D41" s="257" t="s">
        <v>367</v>
      </c>
      <c r="E41" s="258">
        <v>298860</v>
      </c>
      <c r="F41" s="258">
        <v>298860</v>
      </c>
      <c r="G41" s="262">
        <f>F41/E41</f>
        <v>1</v>
      </c>
      <c r="H41" s="258">
        <f>E41-F41</f>
        <v>0</v>
      </c>
      <c r="I41" s="262">
        <f>H41/E41</f>
        <v>0</v>
      </c>
      <c r="J41" s="326"/>
    </row>
    <row r="42" spans="1:10" s="264" customFormat="1" ht="33.75">
      <c r="A42" s="257">
        <v>2</v>
      </c>
      <c r="B42" s="257" t="s">
        <v>932</v>
      </c>
      <c r="C42" s="257" t="s">
        <v>379</v>
      </c>
      <c r="D42" s="257" t="s">
        <v>367</v>
      </c>
      <c r="E42" s="258">
        <v>117680</v>
      </c>
      <c r="F42" s="258">
        <v>117680</v>
      </c>
      <c r="G42" s="262">
        <f>F42/E42</f>
        <v>1</v>
      </c>
      <c r="H42" s="258">
        <f>E42-F42</f>
        <v>0</v>
      </c>
      <c r="I42" s="262">
        <f>H42/E42</f>
        <v>0</v>
      </c>
      <c r="J42" s="326"/>
    </row>
    <row r="43" spans="1:10" s="265" customFormat="1" ht="24.75" customHeight="1">
      <c r="A43" s="248" t="s">
        <v>78</v>
      </c>
      <c r="B43" s="315" t="s">
        <v>810</v>
      </c>
      <c r="C43" s="317"/>
      <c r="D43" s="248" t="s">
        <v>367</v>
      </c>
      <c r="E43" s="249">
        <f>SUM(E44:E49)</f>
        <v>288533.56</v>
      </c>
      <c r="F43" s="251">
        <f>SUM(F44:F49)</f>
        <v>176353</v>
      </c>
      <c r="G43" s="250">
        <f aca="true" t="shared" si="6" ref="G43:G50">F43/E43</f>
        <v>0.6112044643957535</v>
      </c>
      <c r="H43" s="251">
        <f>SUM(H44:H49)</f>
        <v>112180.56</v>
      </c>
      <c r="I43" s="250">
        <f aca="true" t="shared" si="7" ref="I43:I50">H43/E43</f>
        <v>0.3887955356042465</v>
      </c>
      <c r="J43" s="326"/>
    </row>
    <row r="44" spans="1:10" s="265" customFormat="1" ht="24.75" customHeight="1">
      <c r="A44" s="246">
        <v>1</v>
      </c>
      <c r="B44" s="253" t="s">
        <v>678</v>
      </c>
      <c r="C44" s="253" t="s">
        <v>724</v>
      </c>
      <c r="D44" s="257" t="s">
        <v>367</v>
      </c>
      <c r="E44" s="258">
        <v>10000</v>
      </c>
      <c r="F44" s="258">
        <v>10000</v>
      </c>
      <c r="G44" s="262">
        <f t="shared" si="6"/>
        <v>1</v>
      </c>
      <c r="H44" s="258">
        <f>E44-F44</f>
        <v>0</v>
      </c>
      <c r="I44" s="262">
        <f t="shared" si="7"/>
        <v>0</v>
      </c>
      <c r="J44" s="326"/>
    </row>
    <row r="45" spans="1:10" s="265" customFormat="1" ht="42.75" customHeight="1">
      <c r="A45" s="246">
        <v>2</v>
      </c>
      <c r="B45" s="253" t="s">
        <v>678</v>
      </c>
      <c r="C45" s="253" t="s">
        <v>726</v>
      </c>
      <c r="D45" s="257" t="s">
        <v>367</v>
      </c>
      <c r="E45" s="258">
        <v>166445.92</v>
      </c>
      <c r="F45" s="258">
        <v>80000</v>
      </c>
      <c r="G45" s="262">
        <f t="shared" si="6"/>
        <v>0.48063659355543226</v>
      </c>
      <c r="H45" s="258">
        <v>86445.92</v>
      </c>
      <c r="I45" s="262">
        <f t="shared" si="7"/>
        <v>0.5193634064445677</v>
      </c>
      <c r="J45" s="326"/>
    </row>
    <row r="46" spans="1:10" s="265" customFormat="1" ht="24.75" customHeight="1">
      <c r="A46" s="246">
        <v>3</v>
      </c>
      <c r="B46" s="253" t="s">
        <v>678</v>
      </c>
      <c r="C46" s="253" t="s">
        <v>727</v>
      </c>
      <c r="D46" s="257" t="s">
        <v>367</v>
      </c>
      <c r="E46" s="258">
        <v>51780</v>
      </c>
      <c r="F46" s="258">
        <v>47500</v>
      </c>
      <c r="G46" s="262">
        <f t="shared" si="6"/>
        <v>0.9173426033217459</v>
      </c>
      <c r="H46" s="258">
        <v>4280</v>
      </c>
      <c r="I46" s="262">
        <f t="shared" si="7"/>
        <v>0.08265739667825416</v>
      </c>
      <c r="J46" s="326"/>
    </row>
    <row r="47" spans="1:10" s="265" customFormat="1" ht="33.75">
      <c r="A47" s="246">
        <v>4</v>
      </c>
      <c r="B47" s="253" t="s">
        <v>74</v>
      </c>
      <c r="C47" s="253" t="s">
        <v>724</v>
      </c>
      <c r="D47" s="257" t="s">
        <v>367</v>
      </c>
      <c r="E47" s="258">
        <v>7771</v>
      </c>
      <c r="F47" s="258">
        <v>7771</v>
      </c>
      <c r="G47" s="262">
        <f t="shared" si="6"/>
        <v>1</v>
      </c>
      <c r="H47" s="258">
        <v>0</v>
      </c>
      <c r="I47" s="262">
        <f t="shared" si="7"/>
        <v>0</v>
      </c>
      <c r="J47" s="326"/>
    </row>
    <row r="48" spans="1:10" s="265" customFormat="1" ht="45">
      <c r="A48" s="246">
        <v>5</v>
      </c>
      <c r="B48" s="253" t="s">
        <v>74</v>
      </c>
      <c r="C48" s="253" t="s">
        <v>726</v>
      </c>
      <c r="D48" s="257" t="s">
        <v>367</v>
      </c>
      <c r="E48" s="258">
        <v>37242.64</v>
      </c>
      <c r="F48" s="258">
        <v>17138</v>
      </c>
      <c r="G48" s="262">
        <f t="shared" si="6"/>
        <v>0.46017145938096765</v>
      </c>
      <c r="H48" s="258">
        <v>20104.64</v>
      </c>
      <c r="I48" s="262">
        <f t="shared" si="7"/>
        <v>0.5398285406190324</v>
      </c>
      <c r="J48" s="326"/>
    </row>
    <row r="49" spans="1:10" s="265" customFormat="1" ht="33.75">
      <c r="A49" s="246" t="s">
        <v>77</v>
      </c>
      <c r="B49" s="253" t="s">
        <v>74</v>
      </c>
      <c r="C49" s="253" t="s">
        <v>727</v>
      </c>
      <c r="D49" s="257" t="s">
        <v>367</v>
      </c>
      <c r="E49" s="258">
        <v>15294</v>
      </c>
      <c r="F49" s="258">
        <v>13944</v>
      </c>
      <c r="G49" s="262">
        <f t="shared" si="6"/>
        <v>0.9117300902314633</v>
      </c>
      <c r="H49" s="258">
        <v>1350</v>
      </c>
      <c r="I49" s="262">
        <f t="shared" si="7"/>
        <v>0.08826990976853669</v>
      </c>
      <c r="J49" s="326"/>
    </row>
    <row r="50" spans="1:10" s="269" customFormat="1" ht="11.25">
      <c r="A50" s="323"/>
      <c r="B50" s="323"/>
      <c r="C50" s="323"/>
      <c r="D50" s="266"/>
      <c r="E50" s="267">
        <f>E43+E29+E23+E9</f>
        <v>2145740.65</v>
      </c>
      <c r="F50" s="267">
        <f>F43+F29+F23+F9</f>
        <v>1154887</v>
      </c>
      <c r="G50" s="268">
        <f t="shared" si="6"/>
        <v>0.5382230140441251</v>
      </c>
      <c r="H50" s="267">
        <f>H43+H29+H23+H9</f>
        <v>990853.65</v>
      </c>
      <c r="I50" s="268">
        <f t="shared" si="7"/>
        <v>0.46177698595587496</v>
      </c>
      <c r="J50" s="326"/>
    </row>
    <row r="51" spans="1:10" s="243" customFormat="1" ht="11.25">
      <c r="A51" s="321" t="s">
        <v>698</v>
      </c>
      <c r="B51" s="321"/>
      <c r="C51" s="321"/>
      <c r="D51" s="270"/>
      <c r="E51" s="270"/>
      <c r="F51" s="270"/>
      <c r="G51" s="270"/>
      <c r="H51" s="270"/>
      <c r="I51" s="270"/>
      <c r="J51" s="326"/>
    </row>
    <row r="52" spans="1:10" s="243" customFormat="1" ht="54.75" customHeight="1">
      <c r="A52" s="271" t="s">
        <v>365</v>
      </c>
      <c r="B52" s="315" t="s">
        <v>178</v>
      </c>
      <c r="C52" s="317"/>
      <c r="D52" s="248" t="s">
        <v>179</v>
      </c>
      <c r="E52" s="249">
        <f>SUM(E53:E57)</f>
        <v>111624.36</v>
      </c>
      <c r="F52" s="249">
        <f>SUM(F53:F57)</f>
        <v>59997.920000000006</v>
      </c>
      <c r="G52" s="250">
        <f>F52/E52</f>
        <v>0.5374984456797782</v>
      </c>
      <c r="H52" s="251">
        <f>SUM(H53:H57)</f>
        <v>51626.44</v>
      </c>
      <c r="I52" s="250">
        <f aca="true" t="shared" si="8" ref="I52:I64">H52/E52</f>
        <v>0.4625015543202219</v>
      </c>
      <c r="J52" s="326"/>
    </row>
    <row r="53" spans="1:10" s="272" customFormat="1" ht="56.25">
      <c r="A53" s="333">
        <v>1</v>
      </c>
      <c r="B53" s="253" t="s">
        <v>180</v>
      </c>
      <c r="C53" s="275" t="s">
        <v>672</v>
      </c>
      <c r="D53" s="334" t="s">
        <v>179</v>
      </c>
      <c r="E53" s="335">
        <v>55304</v>
      </c>
      <c r="F53" s="336">
        <v>30000</v>
      </c>
      <c r="G53" s="262">
        <f>F53/E53</f>
        <v>0.5424562418631563</v>
      </c>
      <c r="H53" s="336">
        <v>25304</v>
      </c>
      <c r="I53" s="262">
        <f t="shared" si="8"/>
        <v>0.4575437581368436</v>
      </c>
      <c r="J53" s="329"/>
    </row>
    <row r="54" spans="1:10" s="272" customFormat="1" ht="56.25">
      <c r="A54" s="333">
        <v>2</v>
      </c>
      <c r="B54" s="253" t="s">
        <v>182</v>
      </c>
      <c r="C54" s="275" t="s">
        <v>673</v>
      </c>
      <c r="D54" s="334" t="s">
        <v>179</v>
      </c>
      <c r="E54" s="335">
        <v>12831.56</v>
      </c>
      <c r="F54" s="336">
        <v>9999.12</v>
      </c>
      <c r="G54" s="262">
        <f aca="true" t="shared" si="9" ref="G54:G64">F54/E54</f>
        <v>0.7792598873402767</v>
      </c>
      <c r="H54" s="336">
        <v>2832.44</v>
      </c>
      <c r="I54" s="262">
        <f t="shared" si="8"/>
        <v>0.22074011265972338</v>
      </c>
      <c r="J54" s="329"/>
    </row>
    <row r="55" spans="1:10" s="272" customFormat="1" ht="56.25">
      <c r="A55" s="333">
        <v>3</v>
      </c>
      <c r="B55" s="253" t="s">
        <v>692</v>
      </c>
      <c r="C55" s="275" t="s">
        <v>216</v>
      </c>
      <c r="D55" s="334" t="s">
        <v>179</v>
      </c>
      <c r="E55" s="335">
        <v>15648.8</v>
      </c>
      <c r="F55" s="336">
        <v>6998.8</v>
      </c>
      <c r="G55" s="262">
        <f t="shared" si="9"/>
        <v>0.4472419610449364</v>
      </c>
      <c r="H55" s="336">
        <v>8650</v>
      </c>
      <c r="I55" s="262">
        <f t="shared" si="8"/>
        <v>0.5527580389550637</v>
      </c>
      <c r="J55" s="329"/>
    </row>
    <row r="56" spans="1:10" s="272" customFormat="1" ht="56.25">
      <c r="A56" s="333">
        <v>4</v>
      </c>
      <c r="B56" s="253" t="s">
        <v>694</v>
      </c>
      <c r="C56" s="275" t="s">
        <v>216</v>
      </c>
      <c r="D56" s="334" t="s">
        <v>179</v>
      </c>
      <c r="E56" s="335">
        <v>16720</v>
      </c>
      <c r="F56" s="336">
        <v>7000</v>
      </c>
      <c r="G56" s="262">
        <f t="shared" si="9"/>
        <v>0.41866028708133973</v>
      </c>
      <c r="H56" s="336">
        <v>9720</v>
      </c>
      <c r="I56" s="262">
        <f t="shared" si="8"/>
        <v>0.5813397129186603</v>
      </c>
      <c r="J56" s="329"/>
    </row>
    <row r="57" spans="1:10" s="272" customFormat="1" ht="56.25">
      <c r="A57" s="333">
        <v>5</v>
      </c>
      <c r="B57" s="253" t="s">
        <v>696</v>
      </c>
      <c r="C57" s="275" t="s">
        <v>219</v>
      </c>
      <c r="D57" s="334" t="s">
        <v>179</v>
      </c>
      <c r="E57" s="276">
        <v>11120</v>
      </c>
      <c r="F57" s="278">
        <v>6000</v>
      </c>
      <c r="G57" s="262">
        <f t="shared" si="9"/>
        <v>0.539568345323741</v>
      </c>
      <c r="H57" s="278">
        <v>5120</v>
      </c>
      <c r="I57" s="262">
        <f t="shared" si="8"/>
        <v>0.460431654676259</v>
      </c>
      <c r="J57" s="329"/>
    </row>
    <row r="58" spans="1:10" s="243" customFormat="1" ht="56.25">
      <c r="A58" s="248" t="s">
        <v>376</v>
      </c>
      <c r="B58" s="315" t="s">
        <v>221</v>
      </c>
      <c r="C58" s="317"/>
      <c r="D58" s="248" t="s">
        <v>222</v>
      </c>
      <c r="E58" s="249">
        <f>SUM(E59:E64)</f>
        <v>200598.26</v>
      </c>
      <c r="F58" s="249">
        <f>SUM(F59:F64)</f>
        <v>88665</v>
      </c>
      <c r="G58" s="250">
        <f>F58/E58</f>
        <v>0.4420028369139393</v>
      </c>
      <c r="H58" s="251">
        <f>SUM(H59:H64)</f>
        <v>111933.26</v>
      </c>
      <c r="I58" s="250">
        <f t="shared" si="8"/>
        <v>0.5579971630860606</v>
      </c>
      <c r="J58" s="326"/>
    </row>
    <row r="59" spans="1:10" s="243" customFormat="1" ht="59.25" customHeight="1">
      <c r="A59" s="257">
        <v>1</v>
      </c>
      <c r="B59" s="257" t="s">
        <v>223</v>
      </c>
      <c r="C59" s="257" t="s">
        <v>224</v>
      </c>
      <c r="D59" s="257" t="s">
        <v>222</v>
      </c>
      <c r="E59" s="258">
        <v>20403.27</v>
      </c>
      <c r="F59" s="258">
        <v>16700</v>
      </c>
      <c r="G59" s="262">
        <f t="shared" si="9"/>
        <v>0.8184962508460654</v>
      </c>
      <c r="H59" s="258">
        <v>3703.27</v>
      </c>
      <c r="I59" s="262">
        <f t="shared" si="8"/>
        <v>0.18150374915393463</v>
      </c>
      <c r="J59" s="326"/>
    </row>
    <row r="60" spans="1:10" s="243" customFormat="1" ht="87.75" customHeight="1">
      <c r="A60" s="257">
        <v>2</v>
      </c>
      <c r="B60" s="257" t="s">
        <v>982</v>
      </c>
      <c r="C60" s="257" t="s">
        <v>535</v>
      </c>
      <c r="D60" s="257" t="s">
        <v>222</v>
      </c>
      <c r="E60" s="258">
        <v>33225</v>
      </c>
      <c r="F60" s="258">
        <v>24000</v>
      </c>
      <c r="G60" s="262">
        <f t="shared" si="9"/>
        <v>0.7223476297968398</v>
      </c>
      <c r="H60" s="258">
        <v>9225</v>
      </c>
      <c r="I60" s="262">
        <f t="shared" si="8"/>
        <v>0.27765237020316025</v>
      </c>
      <c r="J60" s="326"/>
    </row>
    <row r="61" spans="1:10" s="243" customFormat="1" ht="87.75" customHeight="1">
      <c r="A61" s="257">
        <v>3</v>
      </c>
      <c r="B61" s="257" t="s">
        <v>233</v>
      </c>
      <c r="C61" s="257" t="s">
        <v>679</v>
      </c>
      <c r="D61" s="257" t="s">
        <v>222</v>
      </c>
      <c r="E61" s="258">
        <v>104650</v>
      </c>
      <c r="F61" s="258">
        <v>22000</v>
      </c>
      <c r="G61" s="262">
        <f t="shared" si="9"/>
        <v>0.210224558050645</v>
      </c>
      <c r="H61" s="258">
        <v>82650</v>
      </c>
      <c r="I61" s="262">
        <f t="shared" si="8"/>
        <v>0.789775441949355</v>
      </c>
      <c r="J61" s="326"/>
    </row>
    <row r="62" spans="1:10" s="243" customFormat="1" ht="87.75" customHeight="1">
      <c r="A62" s="257">
        <v>4</v>
      </c>
      <c r="B62" s="257" t="s">
        <v>234</v>
      </c>
      <c r="C62" s="257" t="s">
        <v>535</v>
      </c>
      <c r="D62" s="257" t="s">
        <v>222</v>
      </c>
      <c r="E62" s="258">
        <v>24347.09</v>
      </c>
      <c r="F62" s="258">
        <v>11975</v>
      </c>
      <c r="G62" s="262">
        <f t="shared" si="9"/>
        <v>0.49184522667801367</v>
      </c>
      <c r="H62" s="258">
        <v>12372.09</v>
      </c>
      <c r="I62" s="262">
        <f t="shared" si="8"/>
        <v>0.5081547733219863</v>
      </c>
      <c r="J62" s="326"/>
    </row>
    <row r="63" spans="1:10" s="243" customFormat="1" ht="87.75" customHeight="1">
      <c r="A63" s="257">
        <v>5</v>
      </c>
      <c r="B63" s="257" t="s">
        <v>674</v>
      </c>
      <c r="C63" s="257" t="s">
        <v>535</v>
      </c>
      <c r="D63" s="257" t="s">
        <v>222</v>
      </c>
      <c r="E63" s="258">
        <v>7172.9</v>
      </c>
      <c r="F63" s="258">
        <v>3990</v>
      </c>
      <c r="G63" s="262">
        <f t="shared" si="9"/>
        <v>0.5562603688884552</v>
      </c>
      <c r="H63" s="258">
        <v>3182.9</v>
      </c>
      <c r="I63" s="262">
        <f t="shared" si="8"/>
        <v>0.44373963111154485</v>
      </c>
      <c r="J63" s="326"/>
    </row>
    <row r="64" spans="1:10" s="243" customFormat="1" ht="56.25">
      <c r="A64" s="257">
        <v>6</v>
      </c>
      <c r="B64" s="257" t="s">
        <v>235</v>
      </c>
      <c r="C64" s="257" t="s">
        <v>535</v>
      </c>
      <c r="D64" s="257" t="s">
        <v>222</v>
      </c>
      <c r="E64" s="258">
        <v>10800</v>
      </c>
      <c r="F64" s="258">
        <v>10000</v>
      </c>
      <c r="G64" s="262">
        <f t="shared" si="9"/>
        <v>0.9259259259259259</v>
      </c>
      <c r="H64" s="258">
        <v>800</v>
      </c>
      <c r="I64" s="262">
        <f t="shared" si="8"/>
        <v>0.07407407407407407</v>
      </c>
      <c r="J64" s="326"/>
    </row>
    <row r="65" spans="1:10" s="243" customFormat="1" ht="66" customHeight="1">
      <c r="A65" s="248" t="s">
        <v>693</v>
      </c>
      <c r="B65" s="315" t="s">
        <v>237</v>
      </c>
      <c r="C65" s="317"/>
      <c r="D65" s="248" t="s">
        <v>222</v>
      </c>
      <c r="E65" s="249">
        <f>SUM(E66:E72)</f>
        <v>858093.2800000001</v>
      </c>
      <c r="F65" s="249">
        <f>SUM(F66:F72)</f>
        <v>348335</v>
      </c>
      <c r="G65" s="250">
        <f>F65/E65</f>
        <v>0.40594071544296434</v>
      </c>
      <c r="H65" s="251">
        <f>SUM(H66:H72)</f>
        <v>509758.31999999995</v>
      </c>
      <c r="I65" s="250">
        <f aca="true" t="shared" si="10" ref="I65:I73">H65/E65</f>
        <v>0.5940593311720141</v>
      </c>
      <c r="J65" s="326"/>
    </row>
    <row r="66" spans="1:10" s="274" customFormat="1" ht="103.5" customHeight="1">
      <c r="A66" s="183">
        <v>1</v>
      </c>
      <c r="B66" s="183" t="s">
        <v>811</v>
      </c>
      <c r="C66" s="183" t="s">
        <v>162</v>
      </c>
      <c r="D66" s="257" t="s">
        <v>222</v>
      </c>
      <c r="E66" s="254">
        <v>400606.28</v>
      </c>
      <c r="F66" s="254">
        <v>180000</v>
      </c>
      <c r="G66" s="262">
        <f aca="true" t="shared" si="11" ref="G66:G72">F66/E66</f>
        <v>0.44931896724135223</v>
      </c>
      <c r="H66" s="273">
        <v>220606.28</v>
      </c>
      <c r="I66" s="262">
        <f t="shared" si="10"/>
        <v>0.5506810327586477</v>
      </c>
      <c r="J66" s="330"/>
    </row>
    <row r="67" spans="1:10" s="277" customFormat="1" ht="56.25">
      <c r="A67" s="257">
        <v>2</v>
      </c>
      <c r="B67" s="275" t="s">
        <v>763</v>
      </c>
      <c r="C67" s="253" t="s">
        <v>164</v>
      </c>
      <c r="D67" s="257" t="s">
        <v>222</v>
      </c>
      <c r="E67" s="258">
        <v>188396.65</v>
      </c>
      <c r="F67" s="276">
        <v>19000</v>
      </c>
      <c r="G67" s="262">
        <f t="shared" si="11"/>
        <v>0.10085105016463934</v>
      </c>
      <c r="H67" s="276">
        <v>169396.65</v>
      </c>
      <c r="I67" s="262">
        <f t="shared" si="10"/>
        <v>0.8991489498353606</v>
      </c>
      <c r="J67" s="331"/>
    </row>
    <row r="68" spans="1:10" s="277" customFormat="1" ht="56.25">
      <c r="A68" s="257">
        <v>3</v>
      </c>
      <c r="B68" s="275" t="s">
        <v>764</v>
      </c>
      <c r="C68" s="253" t="s">
        <v>165</v>
      </c>
      <c r="D68" s="257" t="s">
        <v>222</v>
      </c>
      <c r="E68" s="258">
        <v>134917.79</v>
      </c>
      <c r="F68" s="276">
        <v>66835</v>
      </c>
      <c r="G68" s="262">
        <f t="shared" si="11"/>
        <v>0.4953757395522117</v>
      </c>
      <c r="H68" s="276">
        <v>68082.79</v>
      </c>
      <c r="I68" s="262">
        <f t="shared" si="10"/>
        <v>0.5046242604477882</v>
      </c>
      <c r="J68" s="331"/>
    </row>
    <row r="69" spans="1:10" s="277" customFormat="1" ht="56.25">
      <c r="A69" s="183">
        <v>4</v>
      </c>
      <c r="B69" s="275" t="s">
        <v>163</v>
      </c>
      <c r="C69" s="253" t="s">
        <v>166</v>
      </c>
      <c r="D69" s="257" t="s">
        <v>222</v>
      </c>
      <c r="E69" s="258">
        <v>57980</v>
      </c>
      <c r="F69" s="276">
        <v>38600</v>
      </c>
      <c r="G69" s="262">
        <f t="shared" si="11"/>
        <v>0.6657468092445671</v>
      </c>
      <c r="H69" s="276">
        <v>19380</v>
      </c>
      <c r="I69" s="262">
        <f t="shared" si="10"/>
        <v>0.3342531907554329</v>
      </c>
      <c r="J69" s="331"/>
    </row>
    <row r="70" spans="1:10" s="277" customFormat="1" ht="56.25">
      <c r="A70" s="257">
        <v>5</v>
      </c>
      <c r="B70" s="275" t="s">
        <v>765</v>
      </c>
      <c r="C70" s="253" t="s">
        <v>167</v>
      </c>
      <c r="D70" s="257" t="s">
        <v>222</v>
      </c>
      <c r="E70" s="258">
        <v>50800</v>
      </c>
      <c r="F70" s="276">
        <v>28000</v>
      </c>
      <c r="G70" s="262">
        <f t="shared" si="11"/>
        <v>0.5511811023622047</v>
      </c>
      <c r="H70" s="276">
        <v>22800</v>
      </c>
      <c r="I70" s="262">
        <f t="shared" si="10"/>
        <v>0.44881889763779526</v>
      </c>
      <c r="J70" s="331"/>
    </row>
    <row r="71" spans="1:10" s="277" customFormat="1" ht="56.25">
      <c r="A71" s="257">
        <v>6</v>
      </c>
      <c r="B71" s="275" t="s">
        <v>766</v>
      </c>
      <c r="C71" s="253" t="s">
        <v>168</v>
      </c>
      <c r="D71" s="257" t="s">
        <v>222</v>
      </c>
      <c r="E71" s="258">
        <v>12561.56</v>
      </c>
      <c r="F71" s="276">
        <v>9000</v>
      </c>
      <c r="G71" s="262">
        <f t="shared" si="11"/>
        <v>0.7164715210531176</v>
      </c>
      <c r="H71" s="276">
        <v>3561</v>
      </c>
      <c r="I71" s="262">
        <f t="shared" si="10"/>
        <v>0.28348389849668354</v>
      </c>
      <c r="J71" s="331"/>
    </row>
    <row r="72" spans="1:10" s="277" customFormat="1" ht="56.25">
      <c r="A72" s="183">
        <v>7</v>
      </c>
      <c r="B72" s="275" t="s">
        <v>767</v>
      </c>
      <c r="C72" s="253" t="s">
        <v>820</v>
      </c>
      <c r="D72" s="257" t="s">
        <v>222</v>
      </c>
      <c r="E72" s="258">
        <v>12831</v>
      </c>
      <c r="F72" s="276">
        <v>6900</v>
      </c>
      <c r="G72" s="262">
        <f t="shared" si="11"/>
        <v>0.5377601122281973</v>
      </c>
      <c r="H72" s="278">
        <v>5931.6</v>
      </c>
      <c r="I72" s="262">
        <f t="shared" si="10"/>
        <v>0.4622866495206921</v>
      </c>
      <c r="J72" s="331"/>
    </row>
    <row r="73" spans="1:10" s="269" customFormat="1" ht="11.25">
      <c r="A73" s="323"/>
      <c r="B73" s="323"/>
      <c r="C73" s="323"/>
      <c r="D73" s="266"/>
      <c r="E73" s="267">
        <f>E65+E58+E52</f>
        <v>1170315.9000000001</v>
      </c>
      <c r="F73" s="267">
        <f>F65+F58+F52</f>
        <v>496997.92</v>
      </c>
      <c r="G73" s="268">
        <f>F73/E73</f>
        <v>0.42466988613928935</v>
      </c>
      <c r="H73" s="267">
        <f>H65+H58+H52</f>
        <v>673318.02</v>
      </c>
      <c r="I73" s="268">
        <f t="shared" si="10"/>
        <v>0.5753301480395164</v>
      </c>
      <c r="J73" s="326"/>
    </row>
    <row r="74" spans="1:10" s="265" customFormat="1" ht="11.25">
      <c r="A74" s="321" t="s">
        <v>771</v>
      </c>
      <c r="B74" s="317"/>
      <c r="C74" s="317"/>
      <c r="D74" s="245"/>
      <c r="E74" s="270"/>
      <c r="F74" s="245"/>
      <c r="G74" s="245"/>
      <c r="H74" s="270"/>
      <c r="I74" s="270"/>
      <c r="J74" s="326"/>
    </row>
    <row r="75" spans="1:10" s="265" customFormat="1" ht="11.25">
      <c r="A75" s="248" t="s">
        <v>376</v>
      </c>
      <c r="B75" s="315" t="s">
        <v>886</v>
      </c>
      <c r="C75" s="315"/>
      <c r="D75" s="248" t="s">
        <v>367</v>
      </c>
      <c r="E75" s="249">
        <f>SUM(E76:E80)</f>
        <v>2510230</v>
      </c>
      <c r="F75" s="251">
        <f>SUM(F76:F80)</f>
        <v>125512</v>
      </c>
      <c r="G75" s="250">
        <f aca="true" t="shared" si="12" ref="G75:G81">F75/E75</f>
        <v>0.05000019918493524</v>
      </c>
      <c r="H75" s="251">
        <f>SUM(H76:H80)</f>
        <v>0</v>
      </c>
      <c r="I75" s="250">
        <f aca="true" t="shared" si="13" ref="I75:I83">H75/E75</f>
        <v>0</v>
      </c>
      <c r="J75" s="326" t="s">
        <v>761</v>
      </c>
    </row>
    <row r="76" spans="1:10" s="265" customFormat="1" ht="22.5">
      <c r="A76" s="257">
        <v>1</v>
      </c>
      <c r="B76" s="257" t="s">
        <v>1001</v>
      </c>
      <c r="C76" s="257" t="s">
        <v>59</v>
      </c>
      <c r="D76" s="257" t="s">
        <v>367</v>
      </c>
      <c r="E76" s="258">
        <v>549112</v>
      </c>
      <c r="F76" s="258">
        <v>27456</v>
      </c>
      <c r="G76" s="262">
        <f t="shared" si="12"/>
        <v>0.050000728448841035</v>
      </c>
      <c r="H76" s="261">
        <v>0</v>
      </c>
      <c r="I76" s="262">
        <f t="shared" si="13"/>
        <v>0</v>
      </c>
      <c r="J76" s="326"/>
    </row>
    <row r="77" spans="1:10" s="265" customFormat="1" ht="33.75">
      <c r="A77" s="257">
        <v>2</v>
      </c>
      <c r="B77" s="257" t="s">
        <v>1001</v>
      </c>
      <c r="C77" s="257" t="s">
        <v>1002</v>
      </c>
      <c r="D77" s="257" t="s">
        <v>367</v>
      </c>
      <c r="E77" s="258">
        <v>627558</v>
      </c>
      <c r="F77" s="258">
        <v>31378</v>
      </c>
      <c r="G77" s="262">
        <f t="shared" si="12"/>
        <v>0.05000015934782124</v>
      </c>
      <c r="H77" s="261">
        <v>0</v>
      </c>
      <c r="I77" s="262">
        <f t="shared" si="13"/>
        <v>0</v>
      </c>
      <c r="J77" s="326"/>
    </row>
    <row r="78" spans="1:10" s="265" customFormat="1" ht="33.75">
      <c r="A78" s="257">
        <v>3</v>
      </c>
      <c r="B78" s="257" t="s">
        <v>1001</v>
      </c>
      <c r="C78" s="257" t="s">
        <v>889</v>
      </c>
      <c r="D78" s="257" t="s">
        <v>367</v>
      </c>
      <c r="E78" s="258">
        <v>470669</v>
      </c>
      <c r="F78" s="258">
        <v>23533</v>
      </c>
      <c r="G78" s="262">
        <f t="shared" si="12"/>
        <v>0.04999904391408824</v>
      </c>
      <c r="H78" s="261">
        <v>0</v>
      </c>
      <c r="I78" s="262">
        <f t="shared" si="13"/>
        <v>0</v>
      </c>
      <c r="J78" s="326"/>
    </row>
    <row r="79" spans="1:10" s="265" customFormat="1" ht="33.75">
      <c r="A79" s="257">
        <v>4</v>
      </c>
      <c r="B79" s="257" t="s">
        <v>1001</v>
      </c>
      <c r="C79" s="257" t="s">
        <v>890</v>
      </c>
      <c r="D79" s="257" t="s">
        <v>367</v>
      </c>
      <c r="E79" s="258">
        <v>392223</v>
      </c>
      <c r="F79" s="258">
        <v>19611</v>
      </c>
      <c r="G79" s="262">
        <f t="shared" si="12"/>
        <v>0.04999961756449775</v>
      </c>
      <c r="H79" s="261">
        <v>0</v>
      </c>
      <c r="I79" s="262">
        <f t="shared" si="13"/>
        <v>0</v>
      </c>
      <c r="J79" s="326"/>
    </row>
    <row r="80" spans="1:10" s="265" customFormat="1" ht="33.75">
      <c r="A80" s="257">
        <v>5</v>
      </c>
      <c r="B80" s="257" t="s">
        <v>1001</v>
      </c>
      <c r="C80" s="257" t="s">
        <v>891</v>
      </c>
      <c r="D80" s="257" t="s">
        <v>367</v>
      </c>
      <c r="E80" s="258">
        <v>470668</v>
      </c>
      <c r="F80" s="258">
        <v>23534</v>
      </c>
      <c r="G80" s="262">
        <f t="shared" si="12"/>
        <v>0.050001274783924125</v>
      </c>
      <c r="H80" s="261">
        <v>0</v>
      </c>
      <c r="I80" s="262">
        <f t="shared" si="13"/>
        <v>0</v>
      </c>
      <c r="J80" s="326"/>
    </row>
    <row r="81" spans="1:10" s="265" customFormat="1" ht="24" customHeight="1">
      <c r="A81" s="248" t="s">
        <v>387</v>
      </c>
      <c r="B81" s="315" t="s">
        <v>892</v>
      </c>
      <c r="C81" s="315"/>
      <c r="D81" s="248" t="s">
        <v>367</v>
      </c>
      <c r="E81" s="249">
        <f>SUM(E82:E92)</f>
        <v>510133.77</v>
      </c>
      <c r="F81" s="249">
        <f>SUM(F82:F92)</f>
        <v>133020</v>
      </c>
      <c r="G81" s="250">
        <f t="shared" si="12"/>
        <v>0.260755134873741</v>
      </c>
      <c r="H81" s="249">
        <f>SUM(H82:H92)</f>
        <v>377113.77</v>
      </c>
      <c r="I81" s="250">
        <f t="shared" si="13"/>
        <v>0.739244865126259</v>
      </c>
      <c r="J81" s="326"/>
    </row>
    <row r="82" spans="1:10" s="265" customFormat="1" ht="33.75">
      <c r="A82" s="257">
        <v>1</v>
      </c>
      <c r="B82" s="253" t="s">
        <v>893</v>
      </c>
      <c r="C82" s="253" t="s">
        <v>894</v>
      </c>
      <c r="D82" s="257" t="s">
        <v>367</v>
      </c>
      <c r="E82" s="258">
        <v>216438.31</v>
      </c>
      <c r="F82" s="258">
        <v>15000</v>
      </c>
      <c r="G82" s="262">
        <f aca="true" t="shared" si="14" ref="G82:G92">F82/E82</f>
        <v>0.0693038122502435</v>
      </c>
      <c r="H82" s="258">
        <f>E82-F82</f>
        <v>201438.31</v>
      </c>
      <c r="I82" s="262">
        <f t="shared" si="13"/>
        <v>0.9306961877497565</v>
      </c>
      <c r="J82" s="326"/>
    </row>
    <row r="83" spans="1:10" s="265" customFormat="1" ht="33.75">
      <c r="A83" s="257">
        <v>2</v>
      </c>
      <c r="B83" s="253" t="s">
        <v>893</v>
      </c>
      <c r="C83" s="253" t="s">
        <v>897</v>
      </c>
      <c r="D83" s="257" t="s">
        <v>367</v>
      </c>
      <c r="E83" s="258">
        <v>35574</v>
      </c>
      <c r="F83" s="258">
        <v>6000</v>
      </c>
      <c r="G83" s="262">
        <f t="shared" si="14"/>
        <v>0.16866250632484397</v>
      </c>
      <c r="H83" s="258">
        <f>E83-F83</f>
        <v>29574</v>
      </c>
      <c r="I83" s="262">
        <f t="shared" si="13"/>
        <v>0.831337493675156</v>
      </c>
      <c r="J83" s="326"/>
    </row>
    <row r="84" spans="1:10" s="265" customFormat="1" ht="33.75">
      <c r="A84" s="257">
        <v>3</v>
      </c>
      <c r="B84" s="253" t="s">
        <v>893</v>
      </c>
      <c r="C84" s="253" t="s">
        <v>899</v>
      </c>
      <c r="D84" s="257" t="s">
        <v>367</v>
      </c>
      <c r="E84" s="258">
        <v>21498</v>
      </c>
      <c r="F84" s="258">
        <v>15000</v>
      </c>
      <c r="G84" s="262">
        <f t="shared" si="14"/>
        <v>0.6977393245883338</v>
      </c>
      <c r="H84" s="258">
        <f aca="true" t="shared" si="15" ref="H84:H92">E84-F84</f>
        <v>6498</v>
      </c>
      <c r="I84" s="262">
        <f aca="true" t="shared" si="16" ref="I84:I92">H84/E84</f>
        <v>0.3022606754116662</v>
      </c>
      <c r="J84" s="326"/>
    </row>
    <row r="85" spans="1:10" s="265" customFormat="1" ht="56.25">
      <c r="A85" s="257">
        <v>4</v>
      </c>
      <c r="B85" s="253" t="s">
        <v>893</v>
      </c>
      <c r="C85" s="253" t="s">
        <v>900</v>
      </c>
      <c r="D85" s="257" t="s">
        <v>367</v>
      </c>
      <c r="E85" s="258">
        <v>18660</v>
      </c>
      <c r="F85" s="258">
        <v>12000</v>
      </c>
      <c r="G85" s="262">
        <f t="shared" si="14"/>
        <v>0.6430868167202572</v>
      </c>
      <c r="H85" s="258">
        <f t="shared" si="15"/>
        <v>6660</v>
      </c>
      <c r="I85" s="262">
        <f t="shared" si="16"/>
        <v>0.35691318327974275</v>
      </c>
      <c r="J85" s="326"/>
    </row>
    <row r="86" spans="1:10" s="265" customFormat="1" ht="56.25">
      <c r="A86" s="257">
        <v>5</v>
      </c>
      <c r="B86" s="253" t="s">
        <v>893</v>
      </c>
      <c r="C86" s="253" t="s">
        <v>900</v>
      </c>
      <c r="D86" s="257" t="s">
        <v>367</v>
      </c>
      <c r="E86" s="258">
        <v>20900</v>
      </c>
      <c r="F86" s="258">
        <v>12000</v>
      </c>
      <c r="G86" s="262">
        <f t="shared" si="14"/>
        <v>0.5741626794258373</v>
      </c>
      <c r="H86" s="258">
        <f t="shared" si="15"/>
        <v>8900</v>
      </c>
      <c r="I86" s="262">
        <f t="shared" si="16"/>
        <v>0.4258373205741627</v>
      </c>
      <c r="J86" s="326"/>
    </row>
    <row r="87" spans="1:10" s="265" customFormat="1" ht="45">
      <c r="A87" s="257">
        <v>6</v>
      </c>
      <c r="B87" s="253" t="s">
        <v>893</v>
      </c>
      <c r="C87" s="253" t="s">
        <v>901</v>
      </c>
      <c r="D87" s="257" t="s">
        <v>367</v>
      </c>
      <c r="E87" s="258">
        <v>21552</v>
      </c>
      <c r="F87" s="258">
        <v>10000</v>
      </c>
      <c r="G87" s="262">
        <f t="shared" si="14"/>
        <v>0.4639940608760208</v>
      </c>
      <c r="H87" s="258">
        <f t="shared" si="15"/>
        <v>11552</v>
      </c>
      <c r="I87" s="262">
        <f t="shared" si="16"/>
        <v>0.5360059391239792</v>
      </c>
      <c r="J87" s="326"/>
    </row>
    <row r="88" spans="1:10" s="265" customFormat="1" ht="45">
      <c r="A88" s="257">
        <v>7</v>
      </c>
      <c r="B88" s="253" t="s">
        <v>893</v>
      </c>
      <c r="C88" s="253" t="s">
        <v>901</v>
      </c>
      <c r="D88" s="257" t="s">
        <v>367</v>
      </c>
      <c r="E88" s="258">
        <v>10939</v>
      </c>
      <c r="F88" s="258">
        <v>5500</v>
      </c>
      <c r="G88" s="262">
        <f t="shared" si="14"/>
        <v>0.5027881890483591</v>
      </c>
      <c r="H88" s="258">
        <f t="shared" si="15"/>
        <v>5439</v>
      </c>
      <c r="I88" s="262">
        <f t="shared" si="16"/>
        <v>0.4972118109516409</v>
      </c>
      <c r="J88" s="326"/>
    </row>
    <row r="89" spans="1:10" s="265" customFormat="1" ht="33.75">
      <c r="A89" s="257">
        <v>8</v>
      </c>
      <c r="B89" s="253" t="s">
        <v>893</v>
      </c>
      <c r="C89" s="253" t="s">
        <v>902</v>
      </c>
      <c r="D89" s="257" t="s">
        <v>367</v>
      </c>
      <c r="E89" s="258">
        <v>142918.71</v>
      </c>
      <c r="F89" s="258">
        <v>43520</v>
      </c>
      <c r="G89" s="262">
        <f t="shared" si="14"/>
        <v>0.30450876585717856</v>
      </c>
      <c r="H89" s="258">
        <f t="shared" si="15"/>
        <v>99398.70999999999</v>
      </c>
      <c r="I89" s="262">
        <f t="shared" si="16"/>
        <v>0.6954912341428214</v>
      </c>
      <c r="J89" s="326"/>
    </row>
    <row r="90" spans="1:10" s="265" customFormat="1" ht="33.75">
      <c r="A90" s="257">
        <v>9</v>
      </c>
      <c r="B90" s="253" t="s">
        <v>893</v>
      </c>
      <c r="C90" s="253" t="s">
        <v>903</v>
      </c>
      <c r="D90" s="257" t="s">
        <v>367</v>
      </c>
      <c r="E90" s="258">
        <v>1750</v>
      </c>
      <c r="F90" s="258">
        <v>1000</v>
      </c>
      <c r="G90" s="262">
        <f t="shared" si="14"/>
        <v>0.5714285714285714</v>
      </c>
      <c r="H90" s="258">
        <f t="shared" si="15"/>
        <v>750</v>
      </c>
      <c r="I90" s="262">
        <f t="shared" si="16"/>
        <v>0.42857142857142855</v>
      </c>
      <c r="J90" s="326"/>
    </row>
    <row r="91" spans="1:10" s="265" customFormat="1" ht="45">
      <c r="A91" s="257">
        <v>10</v>
      </c>
      <c r="B91" s="253" t="s">
        <v>893</v>
      </c>
      <c r="C91" s="253" t="s">
        <v>904</v>
      </c>
      <c r="D91" s="257" t="s">
        <v>367</v>
      </c>
      <c r="E91" s="258">
        <v>10903.75</v>
      </c>
      <c r="F91" s="258">
        <v>4000</v>
      </c>
      <c r="G91" s="262">
        <f t="shared" si="14"/>
        <v>0.36684626848561275</v>
      </c>
      <c r="H91" s="258">
        <f t="shared" si="15"/>
        <v>6903.75</v>
      </c>
      <c r="I91" s="262">
        <f t="shared" si="16"/>
        <v>0.6331537315143873</v>
      </c>
      <c r="J91" s="326"/>
    </row>
    <row r="92" spans="1:10" s="265" customFormat="1" ht="33.75">
      <c r="A92" s="257">
        <v>11</v>
      </c>
      <c r="B92" s="253" t="s">
        <v>893</v>
      </c>
      <c r="C92" s="253" t="s">
        <v>598</v>
      </c>
      <c r="D92" s="257" t="s">
        <v>367</v>
      </c>
      <c r="E92" s="258">
        <v>9000</v>
      </c>
      <c r="F92" s="258">
        <v>9000</v>
      </c>
      <c r="G92" s="262">
        <f t="shared" si="14"/>
        <v>1</v>
      </c>
      <c r="H92" s="258">
        <f t="shared" si="15"/>
        <v>0</v>
      </c>
      <c r="I92" s="262">
        <f t="shared" si="16"/>
        <v>0</v>
      </c>
      <c r="J92" s="326"/>
    </row>
    <row r="93" spans="1:10" s="263" customFormat="1" ht="11.25">
      <c r="A93" s="279"/>
      <c r="B93" s="279"/>
      <c r="C93" s="279"/>
      <c r="D93" s="266"/>
      <c r="E93" s="267">
        <f>E81+E75</f>
        <v>3020363.77</v>
      </c>
      <c r="F93" s="267">
        <f>F81+F75</f>
        <v>258532</v>
      </c>
      <c r="G93" s="268">
        <f>F93/E93</f>
        <v>0.0855963121289857</v>
      </c>
      <c r="H93" s="267">
        <f>H81+H75</f>
        <v>377113.77</v>
      </c>
      <c r="I93" s="268">
        <f>H93/E93</f>
        <v>0.12485706978269046</v>
      </c>
      <c r="J93" s="326"/>
    </row>
    <row r="94" spans="1:10" s="243" customFormat="1" ht="11.25">
      <c r="A94" s="321" t="s">
        <v>225</v>
      </c>
      <c r="B94" s="317"/>
      <c r="C94" s="317"/>
      <c r="D94" s="317"/>
      <c r="E94" s="317"/>
      <c r="F94" s="317"/>
      <c r="G94" s="317"/>
      <c r="H94" s="280"/>
      <c r="I94" s="280"/>
      <c r="J94" s="326"/>
    </row>
    <row r="95" spans="1:256" s="281" customFormat="1" ht="47.25" customHeight="1">
      <c r="A95" s="337" t="s">
        <v>294</v>
      </c>
      <c r="B95" s="322" t="s">
        <v>295</v>
      </c>
      <c r="C95" s="322"/>
      <c r="D95" s="338" t="s">
        <v>394</v>
      </c>
      <c r="E95" s="339">
        <f>SUM(E96:E165)</f>
        <v>6529490.130000001</v>
      </c>
      <c r="F95" s="339">
        <f>SUM(F96:F165)</f>
        <v>4354460.01</v>
      </c>
      <c r="G95" s="340"/>
      <c r="H95" s="339">
        <f>SUM(H96:H165)</f>
        <v>2677293.52</v>
      </c>
      <c r="I95" s="340"/>
      <c r="J95" s="284"/>
      <c r="IV95" s="282"/>
    </row>
    <row r="96" spans="1:256" s="283" customFormat="1" ht="84.75" customHeight="1">
      <c r="A96" s="183">
        <v>1</v>
      </c>
      <c r="B96" s="253" t="s">
        <v>122</v>
      </c>
      <c r="C96" s="183" t="s">
        <v>114</v>
      </c>
      <c r="D96" s="334" t="s">
        <v>394</v>
      </c>
      <c r="E96" s="276" t="s">
        <v>119</v>
      </c>
      <c r="F96" s="254">
        <f>56475+1000</f>
        <v>57475</v>
      </c>
      <c r="G96" s="341"/>
      <c r="H96" s="276" t="s">
        <v>119</v>
      </c>
      <c r="I96" s="341"/>
      <c r="J96" s="332"/>
      <c r="IV96" s="282"/>
    </row>
    <row r="97" spans="1:256" s="283" customFormat="1" ht="84.75" customHeight="1">
      <c r="A97" s="183">
        <v>2</v>
      </c>
      <c r="B97" s="253" t="s">
        <v>122</v>
      </c>
      <c r="C97" s="183" t="s">
        <v>115</v>
      </c>
      <c r="D97" s="334" t="s">
        <v>394</v>
      </c>
      <c r="E97" s="276">
        <f>92607.45+1991.3+5304.16+15118.73+44761.02</f>
        <v>159782.66</v>
      </c>
      <c r="F97" s="254">
        <f>41760+1805+3800+2100+5200</f>
        <v>54665</v>
      </c>
      <c r="G97" s="341">
        <f aca="true" t="shared" si="17" ref="G97:G127">F97/E97</f>
        <v>0.3421209785842844</v>
      </c>
      <c r="H97" s="276">
        <f>50847.45+186.3+1504.16+13018.73+39561.02</f>
        <v>105117.66</v>
      </c>
      <c r="I97" s="341">
        <f aca="true" t="shared" si="18" ref="I97:I127">H97/E97</f>
        <v>0.6578790214157155</v>
      </c>
      <c r="J97" s="332"/>
      <c r="IV97" s="282"/>
    </row>
    <row r="98" spans="1:256" s="283" customFormat="1" ht="84.75" customHeight="1">
      <c r="A98" s="183">
        <v>3</v>
      </c>
      <c r="B98" s="253" t="s">
        <v>122</v>
      </c>
      <c r="C98" s="183" t="s">
        <v>116</v>
      </c>
      <c r="D98" s="334" t="s">
        <v>394</v>
      </c>
      <c r="E98" s="276">
        <v>75850</v>
      </c>
      <c r="F98" s="254">
        <v>15000</v>
      </c>
      <c r="G98" s="341">
        <f t="shared" si="17"/>
        <v>0.19775873434410018</v>
      </c>
      <c r="H98" s="260">
        <v>60850</v>
      </c>
      <c r="I98" s="341">
        <f t="shared" si="18"/>
        <v>0.8022412656558998</v>
      </c>
      <c r="J98" s="332"/>
      <c r="IV98" s="282"/>
    </row>
    <row r="99" spans="1:256" s="283" customFormat="1" ht="84.75" customHeight="1">
      <c r="A99" s="183">
        <v>4</v>
      </c>
      <c r="B99" s="253" t="s">
        <v>122</v>
      </c>
      <c r="C99" s="183" t="s">
        <v>117</v>
      </c>
      <c r="D99" s="334" t="s">
        <v>394</v>
      </c>
      <c r="E99" s="276">
        <v>180369</v>
      </c>
      <c r="F99" s="254">
        <v>60046</v>
      </c>
      <c r="G99" s="341">
        <f t="shared" si="17"/>
        <v>0.3329064307059417</v>
      </c>
      <c r="H99" s="260">
        <v>120323</v>
      </c>
      <c r="I99" s="341">
        <f t="shared" si="18"/>
        <v>0.6670935692940583</v>
      </c>
      <c r="J99" s="332"/>
      <c r="IV99" s="282"/>
    </row>
    <row r="100" spans="1:256" s="283" customFormat="1" ht="84.75" customHeight="1">
      <c r="A100" s="183">
        <v>5</v>
      </c>
      <c r="B100" s="253" t="s">
        <v>122</v>
      </c>
      <c r="C100" s="183" t="s">
        <v>118</v>
      </c>
      <c r="D100" s="334" t="s">
        <v>394</v>
      </c>
      <c r="E100" s="276" t="s">
        <v>119</v>
      </c>
      <c r="F100" s="254">
        <f>20000+850+1250</f>
        <v>22100</v>
      </c>
      <c r="G100" s="341"/>
      <c r="H100" s="276" t="s">
        <v>119</v>
      </c>
      <c r="I100" s="341"/>
      <c r="J100" s="332"/>
      <c r="IV100" s="282"/>
    </row>
    <row r="101" spans="1:256" s="283" customFormat="1" ht="84.75" customHeight="1">
      <c r="A101" s="183">
        <v>6</v>
      </c>
      <c r="B101" s="253" t="s">
        <v>122</v>
      </c>
      <c r="C101" s="183" t="s">
        <v>120</v>
      </c>
      <c r="D101" s="334" t="s">
        <v>394</v>
      </c>
      <c r="E101" s="276">
        <v>41816.07</v>
      </c>
      <c r="F101" s="254">
        <v>35600</v>
      </c>
      <c r="G101" s="341">
        <f t="shared" si="17"/>
        <v>0.8513473408668008</v>
      </c>
      <c r="H101" s="260">
        <v>6216.07</v>
      </c>
      <c r="I101" s="341">
        <f t="shared" si="18"/>
        <v>0.14865265913319928</v>
      </c>
      <c r="J101" s="332"/>
      <c r="IV101" s="282"/>
    </row>
    <row r="102" spans="1:256" s="283" customFormat="1" ht="84.75" customHeight="1">
      <c r="A102" s="183">
        <v>7</v>
      </c>
      <c r="B102" s="253" t="s">
        <v>122</v>
      </c>
      <c r="C102" s="183" t="s">
        <v>121</v>
      </c>
      <c r="D102" s="334" t="s">
        <v>394</v>
      </c>
      <c r="E102" s="276">
        <f>35043.89+6146.44</f>
        <v>41190.33</v>
      </c>
      <c r="F102" s="254">
        <f>33560+6029.6</f>
        <v>39589.6</v>
      </c>
      <c r="G102" s="341">
        <f t="shared" si="17"/>
        <v>0.9611382088951459</v>
      </c>
      <c r="H102" s="276">
        <f>1483.89+116.84</f>
        <v>1600.73</v>
      </c>
      <c r="I102" s="341">
        <f t="shared" si="18"/>
        <v>0.03886179110485398</v>
      </c>
      <c r="J102" s="332"/>
      <c r="IV102" s="282"/>
    </row>
    <row r="103" spans="1:256" s="283" customFormat="1" ht="84.75" customHeight="1">
      <c r="A103" s="183">
        <v>8</v>
      </c>
      <c r="B103" s="253" t="s">
        <v>122</v>
      </c>
      <c r="C103" s="183" t="s">
        <v>640</v>
      </c>
      <c r="D103" s="334" t="s">
        <v>394</v>
      </c>
      <c r="E103" s="260" t="s">
        <v>119</v>
      </c>
      <c r="F103" s="254">
        <f>24500+2732+1300</f>
        <v>28532</v>
      </c>
      <c r="G103" s="341"/>
      <c r="H103" s="276" t="s">
        <v>119</v>
      </c>
      <c r="I103" s="341"/>
      <c r="J103" s="332"/>
      <c r="IV103" s="282"/>
    </row>
    <row r="104" spans="1:256" s="283" customFormat="1" ht="84.75" customHeight="1">
      <c r="A104" s="183">
        <v>9</v>
      </c>
      <c r="B104" s="253" t="s">
        <v>122</v>
      </c>
      <c r="C104" s="183" t="s">
        <v>641</v>
      </c>
      <c r="D104" s="334" t="s">
        <v>394</v>
      </c>
      <c r="E104" s="276">
        <f>82161.68+1743+4299.92+7327.11+3032.83</f>
        <v>98564.54</v>
      </c>
      <c r="F104" s="254">
        <f>68350+1550+3740+6650+1690</f>
        <v>81980</v>
      </c>
      <c r="G104" s="341">
        <f t="shared" si="17"/>
        <v>0.8317392847366812</v>
      </c>
      <c r="H104" s="276">
        <f>13811.68+193+559.92+677.11+1342.83</f>
        <v>16584.54</v>
      </c>
      <c r="I104" s="341">
        <f t="shared" si="18"/>
        <v>0.16826071526331884</v>
      </c>
      <c r="J104" s="332"/>
      <c r="IV104" s="282"/>
    </row>
    <row r="105" spans="1:256" s="283" customFormat="1" ht="84.75" customHeight="1">
      <c r="A105" s="183">
        <v>10</v>
      </c>
      <c r="B105" s="253" t="s">
        <v>122</v>
      </c>
      <c r="C105" s="183" t="s">
        <v>642</v>
      </c>
      <c r="D105" s="334" t="s">
        <v>394</v>
      </c>
      <c r="E105" s="276">
        <f>93610.68+951.66+2392.39+1700+596.37</f>
        <v>99251.09999999999</v>
      </c>
      <c r="F105" s="254">
        <f>73350+900+2345+590+1700</f>
        <v>78885</v>
      </c>
      <c r="G105" s="341">
        <f t="shared" si="17"/>
        <v>0.7948022742317215</v>
      </c>
      <c r="H105" s="276">
        <f>20260.68+51.66+47.39+6.37+0</f>
        <v>20366.1</v>
      </c>
      <c r="I105" s="341">
        <f t="shared" si="18"/>
        <v>0.20519772576827863</v>
      </c>
      <c r="J105" s="332"/>
      <c r="IV105" s="282"/>
    </row>
    <row r="106" spans="1:256" s="283" customFormat="1" ht="84.75" customHeight="1">
      <c r="A106" s="183">
        <v>11</v>
      </c>
      <c r="B106" s="253" t="s">
        <v>122</v>
      </c>
      <c r="C106" s="183" t="s">
        <v>643</v>
      </c>
      <c r="D106" s="334" t="s">
        <v>394</v>
      </c>
      <c r="E106" s="276">
        <v>58776.04</v>
      </c>
      <c r="F106" s="254">
        <v>24909</v>
      </c>
      <c r="G106" s="341">
        <f t="shared" si="17"/>
        <v>0.4237951382910451</v>
      </c>
      <c r="H106" s="276">
        <v>33867.04</v>
      </c>
      <c r="I106" s="341">
        <f t="shared" si="18"/>
        <v>0.5762048617089549</v>
      </c>
      <c r="J106" s="332"/>
      <c r="IV106" s="282"/>
    </row>
    <row r="107" spans="1:256" s="283" customFormat="1" ht="84.75" customHeight="1">
      <c r="A107" s="183">
        <v>12</v>
      </c>
      <c r="B107" s="253" t="s">
        <v>122</v>
      </c>
      <c r="C107" s="183" t="s">
        <v>644</v>
      </c>
      <c r="D107" s="334" t="s">
        <v>394</v>
      </c>
      <c r="E107" s="276">
        <f>168531+6040.43</f>
        <v>174571.43</v>
      </c>
      <c r="F107" s="254">
        <f>85700+5598.58</f>
        <v>91298.58</v>
      </c>
      <c r="G107" s="341">
        <f t="shared" si="17"/>
        <v>0.522986951530385</v>
      </c>
      <c r="H107" s="276">
        <f>82831+441.85</f>
        <v>83272.85</v>
      </c>
      <c r="I107" s="341">
        <f t="shared" si="18"/>
        <v>0.47701304846961506</v>
      </c>
      <c r="J107" s="332"/>
      <c r="IV107" s="282"/>
    </row>
    <row r="108" spans="1:256" s="283" customFormat="1" ht="84.75" customHeight="1">
      <c r="A108" s="183">
        <v>13</v>
      </c>
      <c r="B108" s="253" t="s">
        <v>122</v>
      </c>
      <c r="C108" s="183" t="s">
        <v>645</v>
      </c>
      <c r="D108" s="334" t="s">
        <v>394</v>
      </c>
      <c r="E108" s="260">
        <f>812836.19+5023.14</f>
        <v>817859.33</v>
      </c>
      <c r="F108" s="254">
        <f>99000+4300</f>
        <v>103300</v>
      </c>
      <c r="G108" s="341">
        <f t="shared" si="17"/>
        <v>0.12630533908563468</v>
      </c>
      <c r="H108" s="276">
        <f>713836.19+723.14</f>
        <v>714559.33</v>
      </c>
      <c r="I108" s="341">
        <f t="shared" si="18"/>
        <v>0.8736946609143653</v>
      </c>
      <c r="J108" s="332"/>
      <c r="IV108" s="282"/>
    </row>
    <row r="109" spans="1:256" s="283" customFormat="1" ht="84.75" customHeight="1">
      <c r="A109" s="183">
        <v>14</v>
      </c>
      <c r="B109" s="253" t="s">
        <v>122</v>
      </c>
      <c r="C109" s="183" t="s">
        <v>646</v>
      </c>
      <c r="D109" s="334" t="s">
        <v>394</v>
      </c>
      <c r="E109" s="276">
        <f>24518.88+632.31+1238.26</f>
        <v>26389.45</v>
      </c>
      <c r="F109" s="254">
        <f>22000+570+790.28</f>
        <v>23360.28</v>
      </c>
      <c r="G109" s="341">
        <f t="shared" si="17"/>
        <v>0.8852128407374916</v>
      </c>
      <c r="H109" s="276">
        <f>2518.88+62.31+447.98</f>
        <v>3029.17</v>
      </c>
      <c r="I109" s="341">
        <f t="shared" si="18"/>
        <v>0.1147871592625083</v>
      </c>
      <c r="J109" s="332"/>
      <c r="IV109" s="282"/>
    </row>
    <row r="110" spans="1:256" s="283" customFormat="1" ht="84.75" customHeight="1">
      <c r="A110" s="183">
        <v>15</v>
      </c>
      <c r="B110" s="253" t="s">
        <v>122</v>
      </c>
      <c r="C110" s="183" t="s">
        <v>647</v>
      </c>
      <c r="D110" s="334" t="s">
        <v>394</v>
      </c>
      <c r="E110" s="276" t="s">
        <v>119</v>
      </c>
      <c r="F110" s="254">
        <f>10630+1000</f>
        <v>11630</v>
      </c>
      <c r="G110" s="341"/>
      <c r="H110" s="276" t="s">
        <v>119</v>
      </c>
      <c r="I110" s="341"/>
      <c r="J110" s="332"/>
      <c r="IV110" s="282"/>
    </row>
    <row r="111" spans="1:256" s="283" customFormat="1" ht="84.75" customHeight="1">
      <c r="A111" s="183">
        <v>16</v>
      </c>
      <c r="B111" s="253" t="s">
        <v>122</v>
      </c>
      <c r="C111" s="183" t="s">
        <v>648</v>
      </c>
      <c r="D111" s="334" t="s">
        <v>394</v>
      </c>
      <c r="E111" s="276">
        <f>18078.97+2222.03</f>
        <v>20301</v>
      </c>
      <c r="F111" s="254">
        <f>17470+1800</f>
        <v>19270</v>
      </c>
      <c r="G111" s="341">
        <f t="shared" si="17"/>
        <v>0.9492143244175164</v>
      </c>
      <c r="H111" s="276">
        <f>608.97+422.03</f>
        <v>1031</v>
      </c>
      <c r="I111" s="341">
        <f t="shared" si="18"/>
        <v>0.05078567558248362</v>
      </c>
      <c r="J111" s="332"/>
      <c r="IV111" s="282"/>
    </row>
    <row r="112" spans="1:256" s="283" customFormat="1" ht="84.75" customHeight="1">
      <c r="A112" s="183">
        <v>17</v>
      </c>
      <c r="B112" s="253" t="s">
        <v>122</v>
      </c>
      <c r="C112" s="183" t="s">
        <v>649</v>
      </c>
      <c r="D112" s="334" t="s">
        <v>394</v>
      </c>
      <c r="E112" s="276">
        <v>151868</v>
      </c>
      <c r="F112" s="254">
        <v>41500</v>
      </c>
      <c r="G112" s="341">
        <f t="shared" si="17"/>
        <v>0.27326362367318985</v>
      </c>
      <c r="H112" s="276">
        <v>110368</v>
      </c>
      <c r="I112" s="341">
        <f t="shared" si="18"/>
        <v>0.7267363763268101</v>
      </c>
      <c r="J112" s="332"/>
      <c r="IV112" s="282"/>
    </row>
    <row r="113" spans="1:256" s="283" customFormat="1" ht="84.75" customHeight="1">
      <c r="A113" s="183">
        <v>18</v>
      </c>
      <c r="B113" s="253" t="s">
        <v>122</v>
      </c>
      <c r="C113" s="183" t="s">
        <v>650</v>
      </c>
      <c r="D113" s="334" t="s">
        <v>394</v>
      </c>
      <c r="E113" s="276">
        <v>203622.25</v>
      </c>
      <c r="F113" s="254">
        <v>13000</v>
      </c>
      <c r="G113" s="341">
        <f t="shared" si="17"/>
        <v>0.06384371059645987</v>
      </c>
      <c r="H113" s="276">
        <v>190622.25</v>
      </c>
      <c r="I113" s="341">
        <f t="shared" si="18"/>
        <v>0.9361562894035401</v>
      </c>
      <c r="J113" s="332"/>
      <c r="IV113" s="282"/>
    </row>
    <row r="114" spans="1:256" s="283" customFormat="1" ht="84.75" customHeight="1">
      <c r="A114" s="183">
        <v>19</v>
      </c>
      <c r="B114" s="253" t="s">
        <v>122</v>
      </c>
      <c r="C114" s="183" t="s">
        <v>880</v>
      </c>
      <c r="D114" s="334" t="s">
        <v>394</v>
      </c>
      <c r="E114" s="276">
        <f>39669.28+6228.44+5944.62</f>
        <v>51842.340000000004</v>
      </c>
      <c r="F114" s="254">
        <f>38200+2000+800</f>
        <v>41000</v>
      </c>
      <c r="G114" s="341">
        <f t="shared" si="17"/>
        <v>0.7908593632154721</v>
      </c>
      <c r="H114" s="276">
        <f>1469.28+4228.44+5144.62</f>
        <v>10842.34</v>
      </c>
      <c r="I114" s="341">
        <f t="shared" si="18"/>
        <v>0.20914063678452785</v>
      </c>
      <c r="J114" s="332"/>
      <c r="IV114" s="282"/>
    </row>
    <row r="115" spans="1:256" s="283" customFormat="1" ht="84.75" customHeight="1">
      <c r="A115" s="183">
        <v>20</v>
      </c>
      <c r="B115" s="253" t="s">
        <v>122</v>
      </c>
      <c r="C115" s="183" t="s">
        <v>651</v>
      </c>
      <c r="D115" s="334" t="s">
        <v>394</v>
      </c>
      <c r="E115" s="276">
        <f>16705.49+768.4</f>
        <v>17473.890000000003</v>
      </c>
      <c r="F115" s="254">
        <f>11200+730</f>
        <v>11930</v>
      </c>
      <c r="G115" s="341">
        <f t="shared" si="17"/>
        <v>0.6827329232357533</v>
      </c>
      <c r="H115" s="276">
        <f>5505.49+38.4</f>
        <v>5543.889999999999</v>
      </c>
      <c r="I115" s="341">
        <f t="shared" si="18"/>
        <v>0.3172670767642464</v>
      </c>
      <c r="J115" s="332"/>
      <c r="IV115" s="282"/>
    </row>
    <row r="116" spans="1:256" s="283" customFormat="1" ht="84.75" customHeight="1">
      <c r="A116" s="183">
        <v>21</v>
      </c>
      <c r="B116" s="253" t="s">
        <v>122</v>
      </c>
      <c r="C116" s="183" t="s">
        <v>652</v>
      </c>
      <c r="D116" s="334" t="s">
        <v>394</v>
      </c>
      <c r="E116" s="276">
        <v>7573</v>
      </c>
      <c r="F116" s="254">
        <v>4300</v>
      </c>
      <c r="G116" s="341">
        <f t="shared" si="17"/>
        <v>0.5678066816321141</v>
      </c>
      <c r="H116" s="276">
        <v>3273</v>
      </c>
      <c r="I116" s="341">
        <f t="shared" si="18"/>
        <v>0.43219331836788594</v>
      </c>
      <c r="J116" s="332"/>
      <c r="IV116" s="282"/>
    </row>
    <row r="117" spans="1:256" s="283" customFormat="1" ht="84.75" customHeight="1">
      <c r="A117" s="183">
        <v>22</v>
      </c>
      <c r="B117" s="253" t="s">
        <v>122</v>
      </c>
      <c r="C117" s="183" t="s">
        <v>653</v>
      </c>
      <c r="D117" s="334" t="s">
        <v>394</v>
      </c>
      <c r="E117" s="276" t="s">
        <v>119</v>
      </c>
      <c r="F117" s="254">
        <v>4900</v>
      </c>
      <c r="G117" s="341"/>
      <c r="H117" s="276" t="s">
        <v>119</v>
      </c>
      <c r="I117" s="341"/>
      <c r="J117" s="332"/>
      <c r="IV117" s="282"/>
    </row>
    <row r="118" spans="1:256" s="283" customFormat="1" ht="84.75" customHeight="1">
      <c r="A118" s="183">
        <v>23</v>
      </c>
      <c r="B118" s="253" t="s">
        <v>122</v>
      </c>
      <c r="C118" s="183" t="s">
        <v>654</v>
      </c>
      <c r="D118" s="334" t="s">
        <v>394</v>
      </c>
      <c r="E118" s="276">
        <f>18366.98+669.08</f>
        <v>19036.06</v>
      </c>
      <c r="F118" s="254">
        <f>11340+400</f>
        <v>11740</v>
      </c>
      <c r="G118" s="341">
        <f t="shared" si="17"/>
        <v>0.6167242591166449</v>
      </c>
      <c r="H118" s="276">
        <f>7026.98+269.08</f>
        <v>7296.0599999999995</v>
      </c>
      <c r="I118" s="341">
        <f t="shared" si="18"/>
        <v>0.38327574088335503</v>
      </c>
      <c r="J118" s="332"/>
      <c r="IV118" s="282"/>
    </row>
    <row r="119" spans="1:256" s="283" customFormat="1" ht="84.75" customHeight="1">
      <c r="A119" s="183">
        <v>24</v>
      </c>
      <c r="B119" s="253" t="s">
        <v>122</v>
      </c>
      <c r="C119" s="183" t="s">
        <v>655</v>
      </c>
      <c r="D119" s="334" t="s">
        <v>394</v>
      </c>
      <c r="E119" s="276">
        <v>239101.77</v>
      </c>
      <c r="F119" s="254">
        <v>10000</v>
      </c>
      <c r="G119" s="341">
        <f t="shared" si="17"/>
        <v>0.041823195202611844</v>
      </c>
      <c r="H119" s="276">
        <v>229101.77</v>
      </c>
      <c r="I119" s="341">
        <f t="shared" si="18"/>
        <v>0.9581768047973882</v>
      </c>
      <c r="J119" s="332"/>
      <c r="IV119" s="282"/>
    </row>
    <row r="120" spans="1:256" s="283" customFormat="1" ht="84.75" customHeight="1">
      <c r="A120" s="183">
        <v>25</v>
      </c>
      <c r="B120" s="253" t="s">
        <v>122</v>
      </c>
      <c r="C120" s="183" t="s">
        <v>656</v>
      </c>
      <c r="D120" s="334" t="s">
        <v>394</v>
      </c>
      <c r="E120" s="276">
        <v>2560</v>
      </c>
      <c r="F120" s="254">
        <v>2060</v>
      </c>
      <c r="G120" s="341">
        <f t="shared" si="17"/>
        <v>0.8046875</v>
      </c>
      <c r="H120" s="276">
        <v>500</v>
      </c>
      <c r="I120" s="341">
        <f t="shared" si="18"/>
        <v>0.1953125</v>
      </c>
      <c r="J120" s="332"/>
      <c r="IV120" s="282"/>
    </row>
    <row r="121" spans="1:256" s="283" customFormat="1" ht="84.75" customHeight="1">
      <c r="A121" s="183">
        <v>26</v>
      </c>
      <c r="B121" s="253" t="s">
        <v>122</v>
      </c>
      <c r="C121" s="183" t="s">
        <v>657</v>
      </c>
      <c r="D121" s="334" t="s">
        <v>394</v>
      </c>
      <c r="E121" s="276">
        <v>31763</v>
      </c>
      <c r="F121" s="254">
        <v>12100</v>
      </c>
      <c r="G121" s="341">
        <f t="shared" si="17"/>
        <v>0.38094638415766774</v>
      </c>
      <c r="H121" s="276">
        <v>19663</v>
      </c>
      <c r="I121" s="341">
        <f t="shared" si="18"/>
        <v>0.6190536158423323</v>
      </c>
      <c r="J121" s="332"/>
      <c r="IV121" s="282"/>
    </row>
    <row r="122" spans="1:256" s="283" customFormat="1" ht="84.75" customHeight="1">
      <c r="A122" s="183">
        <v>27</v>
      </c>
      <c r="B122" s="253" t="s">
        <v>122</v>
      </c>
      <c r="C122" s="183" t="s">
        <v>658</v>
      </c>
      <c r="D122" s="334" t="s">
        <v>394</v>
      </c>
      <c r="E122" s="276">
        <f>101612.62+4024.75+1322.52</f>
        <v>106959.89</v>
      </c>
      <c r="F122" s="254">
        <f>33500+1828+655</f>
        <v>35983</v>
      </c>
      <c r="G122" s="341">
        <f t="shared" si="17"/>
        <v>0.33641582840072104</v>
      </c>
      <c r="H122" s="276">
        <f>68112.62+2196.75+667.52</f>
        <v>70976.89</v>
      </c>
      <c r="I122" s="341">
        <f t="shared" si="18"/>
        <v>0.663584171599279</v>
      </c>
      <c r="J122" s="332"/>
      <c r="IV122" s="282"/>
    </row>
    <row r="123" spans="1:256" s="283" customFormat="1" ht="84.75" customHeight="1">
      <c r="A123" s="183">
        <v>28</v>
      </c>
      <c r="B123" s="253" t="s">
        <v>122</v>
      </c>
      <c r="C123" s="183" t="s">
        <v>659</v>
      </c>
      <c r="D123" s="334" t="s">
        <v>394</v>
      </c>
      <c r="E123" s="276" t="s">
        <v>119</v>
      </c>
      <c r="F123" s="254">
        <f>128800+12600+2000</f>
        <v>143400</v>
      </c>
      <c r="G123" s="341"/>
      <c r="H123" s="276" t="s">
        <v>119</v>
      </c>
      <c r="I123" s="341"/>
      <c r="J123" s="332"/>
      <c r="IV123" s="282"/>
    </row>
    <row r="124" spans="1:256" s="283" customFormat="1" ht="84.75" customHeight="1">
      <c r="A124" s="183">
        <v>29</v>
      </c>
      <c r="B124" s="253" t="s">
        <v>122</v>
      </c>
      <c r="C124" s="183" t="s">
        <v>660</v>
      </c>
      <c r="D124" s="334" t="s">
        <v>394</v>
      </c>
      <c r="E124" s="276">
        <f>10030.72+1595.24+3701.3+2253.73+2115.86</f>
        <v>19696.85</v>
      </c>
      <c r="F124" s="254">
        <f>9500+1480+2950+1760+1200</f>
        <v>16890</v>
      </c>
      <c r="G124" s="341">
        <f t="shared" si="17"/>
        <v>0.8574975186387672</v>
      </c>
      <c r="H124" s="276">
        <f>530.72+115.24+751.3+1053.73+355.86</f>
        <v>2806.85</v>
      </c>
      <c r="I124" s="341">
        <f t="shared" si="18"/>
        <v>0.1425024813612329</v>
      </c>
      <c r="J124" s="332"/>
      <c r="IV124" s="282"/>
    </row>
    <row r="125" spans="1:256" s="283" customFormat="1" ht="84.75" customHeight="1">
      <c r="A125" s="183">
        <v>30</v>
      </c>
      <c r="B125" s="253" t="s">
        <v>122</v>
      </c>
      <c r="C125" s="183" t="s">
        <v>661</v>
      </c>
      <c r="D125" s="334" t="s">
        <v>394</v>
      </c>
      <c r="E125" s="276" t="s">
        <v>119</v>
      </c>
      <c r="F125" s="254">
        <f>8000+1319.7</f>
        <v>9319.7</v>
      </c>
      <c r="G125" s="341"/>
      <c r="H125" s="276" t="s">
        <v>119</v>
      </c>
      <c r="I125" s="341"/>
      <c r="J125" s="332"/>
      <c r="IV125" s="282"/>
    </row>
    <row r="126" spans="1:256" s="283" customFormat="1" ht="84.75" customHeight="1">
      <c r="A126" s="183">
        <v>31</v>
      </c>
      <c r="B126" s="253" t="s">
        <v>122</v>
      </c>
      <c r="C126" s="183" t="s">
        <v>662</v>
      </c>
      <c r="D126" s="334" t="s">
        <v>394</v>
      </c>
      <c r="E126" s="276" t="s">
        <v>119</v>
      </c>
      <c r="F126" s="254">
        <v>2000</v>
      </c>
      <c r="G126" s="341"/>
      <c r="H126" s="276" t="s">
        <v>119</v>
      </c>
      <c r="I126" s="341"/>
      <c r="J126" s="332"/>
      <c r="IV126" s="282"/>
    </row>
    <row r="127" spans="1:256" s="283" customFormat="1" ht="84.75" customHeight="1">
      <c r="A127" s="183">
        <v>32</v>
      </c>
      <c r="B127" s="253" t="s">
        <v>122</v>
      </c>
      <c r="C127" s="183" t="s">
        <v>663</v>
      </c>
      <c r="D127" s="334" t="s">
        <v>394</v>
      </c>
      <c r="E127" s="276">
        <f>6139.91+2514.71+2992.94</f>
        <v>11647.56</v>
      </c>
      <c r="F127" s="254">
        <f>6107.19+2500+2837.14</f>
        <v>11444.329999999998</v>
      </c>
      <c r="G127" s="341">
        <f t="shared" si="17"/>
        <v>0.9825517104011483</v>
      </c>
      <c r="H127" s="276">
        <f>32.72+155.8+14.71</f>
        <v>203.23000000000002</v>
      </c>
      <c r="I127" s="341">
        <f t="shared" si="18"/>
        <v>0.017448289598851606</v>
      </c>
      <c r="J127" s="332"/>
      <c r="IV127" s="282"/>
    </row>
    <row r="128" spans="1:256" s="283" customFormat="1" ht="84.75" customHeight="1">
      <c r="A128" s="183">
        <v>33</v>
      </c>
      <c r="B128" s="253" t="s">
        <v>122</v>
      </c>
      <c r="C128" s="183" t="s">
        <v>664</v>
      </c>
      <c r="D128" s="334" t="s">
        <v>394</v>
      </c>
      <c r="E128" s="276" t="s">
        <v>119</v>
      </c>
      <c r="F128" s="254">
        <v>27500</v>
      </c>
      <c r="G128" s="341"/>
      <c r="H128" s="276" t="s">
        <v>119</v>
      </c>
      <c r="I128" s="341"/>
      <c r="J128" s="332"/>
      <c r="IV128" s="282"/>
    </row>
    <row r="129" spans="1:256" s="283" customFormat="1" ht="84.75" customHeight="1">
      <c r="A129" s="183">
        <v>34</v>
      </c>
      <c r="B129" s="253" t="s">
        <v>122</v>
      </c>
      <c r="C129" s="183" t="s">
        <v>665</v>
      </c>
      <c r="D129" s="334" t="s">
        <v>394</v>
      </c>
      <c r="E129" s="276" t="s">
        <v>119</v>
      </c>
      <c r="F129" s="254">
        <v>2000</v>
      </c>
      <c r="G129" s="341"/>
      <c r="H129" s="276" t="s">
        <v>119</v>
      </c>
      <c r="I129" s="341"/>
      <c r="J129" s="332"/>
      <c r="IV129" s="282"/>
    </row>
    <row r="130" spans="1:256" s="283" customFormat="1" ht="84.75" customHeight="1">
      <c r="A130" s="183">
        <v>35</v>
      </c>
      <c r="B130" s="253" t="s">
        <v>122</v>
      </c>
      <c r="C130" s="183" t="s">
        <v>666</v>
      </c>
      <c r="D130" s="334" t="s">
        <v>394</v>
      </c>
      <c r="E130" s="276" t="s">
        <v>119</v>
      </c>
      <c r="F130" s="254">
        <v>5000</v>
      </c>
      <c r="G130" s="341"/>
      <c r="H130" s="276" t="s">
        <v>119</v>
      </c>
      <c r="I130" s="341"/>
      <c r="J130" s="332"/>
      <c r="IV130" s="282"/>
    </row>
    <row r="131" spans="1:256" s="283" customFormat="1" ht="84.75" customHeight="1">
      <c r="A131" s="183">
        <v>36</v>
      </c>
      <c r="B131" s="253" t="s">
        <v>122</v>
      </c>
      <c r="C131" s="183" t="s">
        <v>667</v>
      </c>
      <c r="D131" s="334" t="s">
        <v>394</v>
      </c>
      <c r="E131" s="276" t="s">
        <v>119</v>
      </c>
      <c r="F131" s="254">
        <v>7859.1</v>
      </c>
      <c r="G131" s="341"/>
      <c r="H131" s="276" t="s">
        <v>119</v>
      </c>
      <c r="I131" s="341"/>
      <c r="J131" s="332"/>
      <c r="IV131" s="282"/>
    </row>
    <row r="132" spans="1:256" s="283" customFormat="1" ht="84.75" customHeight="1">
      <c r="A132" s="183">
        <v>37</v>
      </c>
      <c r="B132" s="253" t="s">
        <v>122</v>
      </c>
      <c r="C132" s="183" t="s">
        <v>668</v>
      </c>
      <c r="D132" s="334" t="s">
        <v>394</v>
      </c>
      <c r="E132" s="276" t="s">
        <v>119</v>
      </c>
      <c r="F132" s="254">
        <f>6000+1115.96+498.9</f>
        <v>7614.86</v>
      </c>
      <c r="G132" s="341"/>
      <c r="H132" s="276" t="s">
        <v>119</v>
      </c>
      <c r="I132" s="341"/>
      <c r="J132" s="332"/>
      <c r="IV132" s="282"/>
    </row>
    <row r="133" spans="1:256" s="283" customFormat="1" ht="84.75" customHeight="1">
      <c r="A133" s="183">
        <v>38</v>
      </c>
      <c r="B133" s="253" t="s">
        <v>122</v>
      </c>
      <c r="C133" s="183" t="s">
        <v>669</v>
      </c>
      <c r="D133" s="334" t="s">
        <v>394</v>
      </c>
      <c r="E133" s="276" t="s">
        <v>119</v>
      </c>
      <c r="F133" s="254">
        <f>3400+18900+900+2850</f>
        <v>26050</v>
      </c>
      <c r="G133" s="341"/>
      <c r="H133" s="276" t="s">
        <v>119</v>
      </c>
      <c r="I133" s="341"/>
      <c r="J133" s="332"/>
      <c r="IV133" s="282"/>
    </row>
    <row r="134" spans="1:256" s="283" customFormat="1" ht="84.75" customHeight="1">
      <c r="A134" s="183">
        <v>39</v>
      </c>
      <c r="B134" s="253" t="s">
        <v>122</v>
      </c>
      <c r="C134" s="183" t="s">
        <v>670</v>
      </c>
      <c r="D134" s="334" t="s">
        <v>394</v>
      </c>
      <c r="E134" s="276" t="s">
        <v>119</v>
      </c>
      <c r="F134" s="254">
        <f>1443.39+16883.39+7480</f>
        <v>25806.78</v>
      </c>
      <c r="G134" s="341"/>
      <c r="H134" s="276" t="s">
        <v>119</v>
      </c>
      <c r="I134" s="341"/>
      <c r="J134" s="332"/>
      <c r="IV134" s="282"/>
    </row>
    <row r="135" spans="1:256" s="283" customFormat="1" ht="84.75" customHeight="1">
      <c r="A135" s="183">
        <v>40</v>
      </c>
      <c r="B135" s="253" t="s">
        <v>122</v>
      </c>
      <c r="C135" s="183" t="s">
        <v>671</v>
      </c>
      <c r="D135" s="334" t="s">
        <v>394</v>
      </c>
      <c r="E135" s="276">
        <f>1344.02+32364.16+1622.9</f>
        <v>35331.08</v>
      </c>
      <c r="F135" s="254">
        <f>21200+1170+1332</f>
        <v>23702</v>
      </c>
      <c r="G135" s="341">
        <f>F135/E135</f>
        <v>0.6708541035258475</v>
      </c>
      <c r="H135" s="276">
        <f>174.02+290.9+11164.16</f>
        <v>11629.08</v>
      </c>
      <c r="I135" s="341">
        <f>H135/E135</f>
        <v>0.3291458964741525</v>
      </c>
      <c r="J135" s="332"/>
      <c r="IV135" s="282"/>
    </row>
    <row r="136" spans="1:256" s="283" customFormat="1" ht="84.75" customHeight="1">
      <c r="A136" s="183">
        <v>41</v>
      </c>
      <c r="B136" s="253" t="s">
        <v>122</v>
      </c>
      <c r="C136" s="183" t="s">
        <v>156</v>
      </c>
      <c r="D136" s="334" t="s">
        <v>394</v>
      </c>
      <c r="E136" s="276">
        <f>791.5+17108.46+2908.61</f>
        <v>20808.57</v>
      </c>
      <c r="F136" s="254">
        <f>16900+768.4+2770</f>
        <v>20438.4</v>
      </c>
      <c r="G136" s="341">
        <f>F136/E136</f>
        <v>0.9822106949204102</v>
      </c>
      <c r="H136" s="276">
        <f>23.1+208.43+138.61</f>
        <v>370.14</v>
      </c>
      <c r="I136" s="341">
        <f>H136/E136</f>
        <v>0.017787863365911257</v>
      </c>
      <c r="J136" s="332"/>
      <c r="IV136" s="282"/>
    </row>
    <row r="137" spans="1:256" s="283" customFormat="1" ht="84.75" customHeight="1">
      <c r="A137" s="183">
        <v>42</v>
      </c>
      <c r="B137" s="253" t="s">
        <v>122</v>
      </c>
      <c r="C137" s="183" t="s">
        <v>157</v>
      </c>
      <c r="D137" s="334" t="s">
        <v>394</v>
      </c>
      <c r="E137" s="276">
        <f>1700+47599.01+3518.6+1007.56+2150.26</f>
        <v>55975.43</v>
      </c>
      <c r="F137" s="254">
        <f>1700+1000+3470+15650+2150.26</f>
        <v>23970.260000000002</v>
      </c>
      <c r="G137" s="341">
        <f>F137/E137</f>
        <v>0.42822824228415934</v>
      </c>
      <c r="H137" s="276">
        <f>7.56+48.6+31950</f>
        <v>32006.16</v>
      </c>
      <c r="I137" s="341">
        <f>H137/E137</f>
        <v>0.5717894440471472</v>
      </c>
      <c r="J137" s="332"/>
      <c r="IV137" s="282"/>
    </row>
    <row r="138" spans="1:256" s="283" customFormat="1" ht="84.75" customHeight="1">
      <c r="A138" s="183">
        <v>43</v>
      </c>
      <c r="B138" s="253" t="s">
        <v>122</v>
      </c>
      <c r="C138" s="183" t="s">
        <v>158</v>
      </c>
      <c r="D138" s="334" t="s">
        <v>394</v>
      </c>
      <c r="E138" s="276">
        <f>8345.6+64462.86+1315.72</f>
        <v>74124.18000000001</v>
      </c>
      <c r="F138" s="254">
        <f>8300+44400+900</f>
        <v>53600</v>
      </c>
      <c r="G138" s="341">
        <f>F138/E138</f>
        <v>0.7231108661168325</v>
      </c>
      <c r="H138" s="276">
        <f>45.6+41912.86+415.72</f>
        <v>42374.18</v>
      </c>
      <c r="I138" s="341">
        <f>H138/E138</f>
        <v>0.5716647388207194</v>
      </c>
      <c r="J138" s="332"/>
      <c r="IV138" s="282"/>
    </row>
    <row r="139" spans="1:256" s="283" customFormat="1" ht="84.75" customHeight="1">
      <c r="A139" s="183">
        <v>44</v>
      </c>
      <c r="B139" s="253" t="s">
        <v>122</v>
      </c>
      <c r="C139" s="183" t="s">
        <v>159</v>
      </c>
      <c r="D139" s="334" t="s">
        <v>394</v>
      </c>
      <c r="E139" s="276">
        <f>1930.4+103140.19</f>
        <v>105070.59</v>
      </c>
      <c r="F139" s="254">
        <f>1930.4+26500</f>
        <v>28430.4</v>
      </c>
      <c r="G139" s="341">
        <f>F139/E139</f>
        <v>0.27058380465932474</v>
      </c>
      <c r="H139" s="276">
        <v>76640.19</v>
      </c>
      <c r="I139" s="341">
        <f>H139/E139</f>
        <v>0.7294161953406753</v>
      </c>
      <c r="J139" s="332"/>
      <c r="IV139" s="282"/>
    </row>
    <row r="140" spans="1:256" s="283" customFormat="1" ht="84.75" customHeight="1">
      <c r="A140" s="183">
        <v>45</v>
      </c>
      <c r="B140" s="253" t="s">
        <v>122</v>
      </c>
      <c r="C140" s="183" t="s">
        <v>160</v>
      </c>
      <c r="D140" s="334" t="s">
        <v>394</v>
      </c>
      <c r="E140" s="276" t="s">
        <v>119</v>
      </c>
      <c r="F140" s="254">
        <f>1300+19675</f>
        <v>20975</v>
      </c>
      <c r="G140" s="341"/>
      <c r="H140" s="276" t="s">
        <v>119</v>
      </c>
      <c r="I140" s="341"/>
      <c r="J140" s="332"/>
      <c r="IV140" s="282"/>
    </row>
    <row r="141" spans="1:256" s="283" customFormat="1" ht="84.75" customHeight="1">
      <c r="A141" s="183">
        <v>46</v>
      </c>
      <c r="B141" s="253" t="s">
        <v>122</v>
      </c>
      <c r="C141" s="183" t="s">
        <v>161</v>
      </c>
      <c r="D141" s="334" t="s">
        <v>394</v>
      </c>
      <c r="E141" s="276">
        <f>834.13+1000.02+3930.08+6427.49+31958.4</f>
        <v>44150.12</v>
      </c>
      <c r="F141" s="254">
        <f>605+1000+25350+2130+1770</f>
        <v>30855</v>
      </c>
      <c r="G141" s="341">
        <f>F141/E141</f>
        <v>0.6988655976472997</v>
      </c>
      <c r="H141" s="276">
        <f>229.13+0.02+2160.08+4297.49+6608.4</f>
        <v>13295.119999999999</v>
      </c>
      <c r="I141" s="341">
        <f>H141/E141</f>
        <v>0.3011344023527002</v>
      </c>
      <c r="J141" s="332"/>
      <c r="IV141" s="282"/>
    </row>
    <row r="142" spans="1:256" s="281" customFormat="1" ht="84.75" customHeight="1">
      <c r="A142" s="183">
        <v>47</v>
      </c>
      <c r="B142" s="253" t="s">
        <v>122</v>
      </c>
      <c r="C142" s="275" t="s">
        <v>606</v>
      </c>
      <c r="D142" s="334" t="s">
        <v>394</v>
      </c>
      <c r="E142" s="254">
        <f>1590.75+10004.28</f>
        <v>11595.03</v>
      </c>
      <c r="F142" s="254">
        <f>1295+8416</f>
        <v>9711</v>
      </c>
      <c r="G142" s="341">
        <f aca="true" t="shared" si="19" ref="G142:G165">F142/E142</f>
        <v>0.8375140038447507</v>
      </c>
      <c r="H142" s="254">
        <f>295.75+1588.28</f>
        <v>1884.03</v>
      </c>
      <c r="I142" s="341">
        <f aca="true" t="shared" si="20" ref="I142:I165">H142/E142</f>
        <v>0.16248599615524925</v>
      </c>
      <c r="J142" s="284"/>
      <c r="IV142" s="282"/>
    </row>
    <row r="143" spans="1:256" s="281" customFormat="1" ht="84.75" customHeight="1">
      <c r="A143" s="183">
        <v>48</v>
      </c>
      <c r="B143" s="253" t="s">
        <v>122</v>
      </c>
      <c r="C143" s="275" t="s">
        <v>607</v>
      </c>
      <c r="D143" s="334" t="s">
        <v>394</v>
      </c>
      <c r="E143" s="254">
        <f>11176.01+2073.15</f>
        <v>13249.16</v>
      </c>
      <c r="F143" s="254">
        <f>3260+600</f>
        <v>3860</v>
      </c>
      <c r="G143" s="341">
        <f t="shared" si="19"/>
        <v>0.2913392245244227</v>
      </c>
      <c r="H143" s="254">
        <f>7916.01+1473.15</f>
        <v>9389.16</v>
      </c>
      <c r="I143" s="341">
        <f t="shared" si="20"/>
        <v>0.7086607754755773</v>
      </c>
      <c r="J143" s="284"/>
      <c r="IV143" s="282"/>
    </row>
    <row r="144" spans="1:256" s="281" customFormat="1" ht="84.75" customHeight="1">
      <c r="A144" s="183">
        <v>49</v>
      </c>
      <c r="B144" s="253" t="s">
        <v>122</v>
      </c>
      <c r="C144" s="275" t="s">
        <v>608</v>
      </c>
      <c r="D144" s="334" t="s">
        <v>394</v>
      </c>
      <c r="E144" s="276" t="s">
        <v>119</v>
      </c>
      <c r="F144" s="254">
        <f>1300+1500+7550</f>
        <v>10350</v>
      </c>
      <c r="G144" s="341"/>
      <c r="H144" s="276" t="s">
        <v>119</v>
      </c>
      <c r="I144" s="341"/>
      <c r="J144" s="284"/>
      <c r="IV144" s="282"/>
    </row>
    <row r="145" spans="1:256" s="281" customFormat="1" ht="84.75" customHeight="1">
      <c r="A145" s="183">
        <v>50</v>
      </c>
      <c r="B145" s="253" t="s">
        <v>122</v>
      </c>
      <c r="C145" s="275" t="s">
        <v>609</v>
      </c>
      <c r="D145" s="334" t="s">
        <v>394</v>
      </c>
      <c r="E145" s="254">
        <f>3200+106299.4+16770</f>
        <v>126269.4</v>
      </c>
      <c r="F145" s="254">
        <f>1200+7770+37169.71</f>
        <v>46139.71</v>
      </c>
      <c r="G145" s="341">
        <f t="shared" si="19"/>
        <v>0.36540689985063685</v>
      </c>
      <c r="H145" s="254">
        <f>2000+69129.69+9000</f>
        <v>80129.69</v>
      </c>
      <c r="I145" s="341">
        <f t="shared" si="20"/>
        <v>0.6345931001493632</v>
      </c>
      <c r="J145" s="284"/>
      <c r="IV145" s="282"/>
    </row>
    <row r="146" spans="1:256" s="281" customFormat="1" ht="84.75" customHeight="1">
      <c r="A146" s="183">
        <v>51</v>
      </c>
      <c r="B146" s="253" t="s">
        <v>122</v>
      </c>
      <c r="C146" s="183" t="s">
        <v>610</v>
      </c>
      <c r="D146" s="334" t="s">
        <v>394</v>
      </c>
      <c r="E146" s="254">
        <f>2380.93+15427.3</f>
        <v>17808.23</v>
      </c>
      <c r="F146" s="254">
        <f>1785.01+10805</f>
        <v>12590.01</v>
      </c>
      <c r="G146" s="341">
        <f t="shared" si="19"/>
        <v>0.7069770549908666</v>
      </c>
      <c r="H146" s="254">
        <f>595.92+4622.3</f>
        <v>5218.22</v>
      </c>
      <c r="I146" s="341">
        <f t="shared" si="20"/>
        <v>0.29302294500913345</v>
      </c>
      <c r="J146" s="284"/>
      <c r="IV146" s="282"/>
    </row>
    <row r="147" spans="1:256" s="281" customFormat="1" ht="84.75" customHeight="1">
      <c r="A147" s="183">
        <v>52</v>
      </c>
      <c r="B147" s="253" t="s">
        <v>122</v>
      </c>
      <c r="C147" s="183" t="s">
        <v>611</v>
      </c>
      <c r="D147" s="334" t="s">
        <v>394</v>
      </c>
      <c r="E147" s="254">
        <v>25000</v>
      </c>
      <c r="F147" s="254">
        <v>3200</v>
      </c>
      <c r="G147" s="341">
        <f t="shared" si="19"/>
        <v>0.128</v>
      </c>
      <c r="H147" s="254">
        <v>21800</v>
      </c>
      <c r="I147" s="341">
        <f t="shared" si="20"/>
        <v>0.872</v>
      </c>
      <c r="J147" s="284"/>
      <c r="IV147" s="282"/>
    </row>
    <row r="148" spans="1:256" s="281" customFormat="1" ht="84.75" customHeight="1">
      <c r="A148" s="183">
        <v>53</v>
      </c>
      <c r="B148" s="253" t="s">
        <v>122</v>
      </c>
      <c r="C148" s="183" t="s">
        <v>612</v>
      </c>
      <c r="D148" s="334" t="s">
        <v>394</v>
      </c>
      <c r="E148" s="254">
        <f>47563.62+29353.81</f>
        <v>76917.43000000001</v>
      </c>
      <c r="F148" s="254">
        <f>7000+3400</f>
        <v>10400</v>
      </c>
      <c r="G148" s="341">
        <f t="shared" si="19"/>
        <v>0.13520992576065008</v>
      </c>
      <c r="H148" s="254">
        <f>40563.62+25953.81</f>
        <v>66517.43000000001</v>
      </c>
      <c r="I148" s="341">
        <f t="shared" si="20"/>
        <v>0.86479007423935</v>
      </c>
      <c r="J148" s="284"/>
      <c r="IV148" s="282"/>
    </row>
    <row r="149" spans="1:256" s="281" customFormat="1" ht="84.75" customHeight="1">
      <c r="A149" s="183">
        <v>54</v>
      </c>
      <c r="B149" s="253" t="s">
        <v>122</v>
      </c>
      <c r="C149" s="183" t="s">
        <v>613</v>
      </c>
      <c r="D149" s="334" t="s">
        <v>394</v>
      </c>
      <c r="E149" s="254">
        <f>2347.67+31017.76</f>
        <v>33365.43</v>
      </c>
      <c r="F149" s="254">
        <f>1700+14630</f>
        <v>16330</v>
      </c>
      <c r="G149" s="341">
        <f t="shared" si="19"/>
        <v>0.489428729076772</v>
      </c>
      <c r="H149" s="254">
        <f>647.67+16387.76</f>
        <v>17035.429999999997</v>
      </c>
      <c r="I149" s="341">
        <f t="shared" si="20"/>
        <v>0.510571270923228</v>
      </c>
      <c r="J149" s="284"/>
      <c r="IV149" s="282"/>
    </row>
    <row r="150" spans="1:256" s="281" customFormat="1" ht="84.75" customHeight="1">
      <c r="A150" s="183">
        <v>55</v>
      </c>
      <c r="B150" s="253" t="s">
        <v>122</v>
      </c>
      <c r="C150" s="183" t="s">
        <v>615</v>
      </c>
      <c r="D150" s="334" t="s">
        <v>394</v>
      </c>
      <c r="E150" s="254">
        <v>33639.15</v>
      </c>
      <c r="F150" s="254">
        <v>26280</v>
      </c>
      <c r="G150" s="341">
        <f t="shared" si="19"/>
        <v>0.7812325816793825</v>
      </c>
      <c r="H150" s="254">
        <v>7359.15</v>
      </c>
      <c r="I150" s="341">
        <f t="shared" si="20"/>
        <v>0.21876741832061747</v>
      </c>
      <c r="J150" s="284"/>
      <c r="IV150" s="282"/>
    </row>
    <row r="151" spans="1:256" s="281" customFormat="1" ht="84.75" customHeight="1">
      <c r="A151" s="183">
        <v>56</v>
      </c>
      <c r="B151" s="253" t="s">
        <v>122</v>
      </c>
      <c r="C151" s="183" t="s">
        <v>616</v>
      </c>
      <c r="D151" s="334" t="s">
        <v>394</v>
      </c>
      <c r="E151" s="276" t="s">
        <v>119</v>
      </c>
      <c r="F151" s="254">
        <v>63500</v>
      </c>
      <c r="G151" s="341"/>
      <c r="H151" s="276" t="s">
        <v>119</v>
      </c>
      <c r="I151" s="341"/>
      <c r="J151" s="284"/>
      <c r="IV151" s="282"/>
    </row>
    <row r="152" spans="1:256" s="281" customFormat="1" ht="84.75" customHeight="1">
      <c r="A152" s="183">
        <v>57</v>
      </c>
      <c r="B152" s="253" t="s">
        <v>122</v>
      </c>
      <c r="C152" s="183" t="s">
        <v>617</v>
      </c>
      <c r="D152" s="334" t="s">
        <v>394</v>
      </c>
      <c r="E152" s="254">
        <v>36428.55</v>
      </c>
      <c r="F152" s="254">
        <v>18020</v>
      </c>
      <c r="G152" s="341">
        <f t="shared" si="19"/>
        <v>0.49466695764722995</v>
      </c>
      <c r="H152" s="254">
        <v>18408.55</v>
      </c>
      <c r="I152" s="341">
        <f t="shared" si="20"/>
        <v>0.50533304235277</v>
      </c>
      <c r="J152" s="284"/>
      <c r="IV152" s="282"/>
    </row>
    <row r="153" spans="1:256" s="281" customFormat="1" ht="84.75" customHeight="1">
      <c r="A153" s="183">
        <v>58</v>
      </c>
      <c r="B153" s="253" t="s">
        <v>122</v>
      </c>
      <c r="C153" s="183" t="s">
        <v>618</v>
      </c>
      <c r="D153" s="334" t="s">
        <v>394</v>
      </c>
      <c r="E153" s="254">
        <v>53363.35</v>
      </c>
      <c r="F153" s="254">
        <v>14810</v>
      </c>
      <c r="G153" s="341">
        <f t="shared" si="19"/>
        <v>0.27753130191414144</v>
      </c>
      <c r="H153" s="254">
        <v>38553.35</v>
      </c>
      <c r="I153" s="341">
        <f t="shared" si="20"/>
        <v>0.7224686980858586</v>
      </c>
      <c r="J153" s="284"/>
      <c r="IV153" s="282"/>
    </row>
    <row r="154" spans="1:256" s="281" customFormat="1" ht="84.75" customHeight="1">
      <c r="A154" s="183">
        <v>59</v>
      </c>
      <c r="B154" s="253" t="s">
        <v>122</v>
      </c>
      <c r="C154" s="183" t="s">
        <v>619</v>
      </c>
      <c r="D154" s="334" t="s">
        <v>394</v>
      </c>
      <c r="E154" s="254">
        <v>37766.6</v>
      </c>
      <c r="F154" s="254">
        <v>9988</v>
      </c>
      <c r="G154" s="341">
        <f t="shared" si="19"/>
        <v>0.26446648626034647</v>
      </c>
      <c r="H154" s="254">
        <v>27778.6</v>
      </c>
      <c r="I154" s="341">
        <f t="shared" si="20"/>
        <v>0.7355335137396536</v>
      </c>
      <c r="J154" s="284"/>
      <c r="IV154" s="282"/>
    </row>
    <row r="155" spans="1:256" s="281" customFormat="1" ht="84.75" customHeight="1">
      <c r="A155" s="183">
        <v>60</v>
      </c>
      <c r="B155" s="253" t="s">
        <v>122</v>
      </c>
      <c r="C155" s="183" t="s">
        <v>620</v>
      </c>
      <c r="D155" s="334" t="s">
        <v>394</v>
      </c>
      <c r="E155" s="254">
        <f>44537.27+4063.39</f>
        <v>48600.659999999996</v>
      </c>
      <c r="F155" s="254">
        <v>12760</v>
      </c>
      <c r="G155" s="341">
        <f t="shared" si="19"/>
        <v>0.26254787486425085</v>
      </c>
      <c r="H155" s="254">
        <f>34537.27+1303.39</f>
        <v>35840.659999999996</v>
      </c>
      <c r="I155" s="341">
        <f t="shared" si="20"/>
        <v>0.7374521251357492</v>
      </c>
      <c r="J155" s="284"/>
      <c r="IV155" s="282"/>
    </row>
    <row r="156" spans="1:256" s="281" customFormat="1" ht="84.75" customHeight="1">
      <c r="A156" s="183">
        <v>61</v>
      </c>
      <c r="B156" s="253" t="s">
        <v>122</v>
      </c>
      <c r="C156" s="183" t="s">
        <v>621</v>
      </c>
      <c r="D156" s="334" t="s">
        <v>394</v>
      </c>
      <c r="E156" s="254">
        <v>64462.86</v>
      </c>
      <c r="F156" s="254">
        <v>22550</v>
      </c>
      <c r="G156" s="341">
        <f t="shared" si="19"/>
        <v>0.3498138307856648</v>
      </c>
      <c r="H156" s="254">
        <v>41912.86</v>
      </c>
      <c r="I156" s="341">
        <f t="shared" si="20"/>
        <v>0.6501861692143353</v>
      </c>
      <c r="J156" s="284"/>
      <c r="IV156" s="282"/>
    </row>
    <row r="157" spans="1:256" s="281" customFormat="1" ht="84.75" customHeight="1">
      <c r="A157" s="183">
        <v>62</v>
      </c>
      <c r="B157" s="253" t="s">
        <v>122</v>
      </c>
      <c r="C157" s="183" t="s">
        <v>622</v>
      </c>
      <c r="D157" s="334" t="s">
        <v>394</v>
      </c>
      <c r="E157" s="254">
        <v>56663.98</v>
      </c>
      <c r="F157" s="254">
        <v>52300</v>
      </c>
      <c r="G157" s="341">
        <f t="shared" si="19"/>
        <v>0.9229849368152395</v>
      </c>
      <c r="H157" s="254">
        <v>4363.98</v>
      </c>
      <c r="I157" s="341">
        <f t="shared" si="20"/>
        <v>0.0770150631847604</v>
      </c>
      <c r="J157" s="284"/>
      <c r="IV157" s="282"/>
    </row>
    <row r="158" spans="1:256" s="281" customFormat="1" ht="84.75" customHeight="1">
      <c r="A158" s="183">
        <v>63</v>
      </c>
      <c r="B158" s="253" t="s">
        <v>122</v>
      </c>
      <c r="C158" s="183" t="s">
        <v>623</v>
      </c>
      <c r="D158" s="334" t="s">
        <v>394</v>
      </c>
      <c r="E158" s="254">
        <v>13956.2</v>
      </c>
      <c r="F158" s="342">
        <v>11100</v>
      </c>
      <c r="G158" s="341">
        <f t="shared" si="19"/>
        <v>0.7953454378699072</v>
      </c>
      <c r="H158" s="254">
        <v>2856.2</v>
      </c>
      <c r="I158" s="341">
        <f t="shared" si="20"/>
        <v>0.2046545621300927</v>
      </c>
      <c r="J158" s="284"/>
      <c r="IV158" s="282"/>
    </row>
    <row r="159" spans="1:256" s="281" customFormat="1" ht="84.75" customHeight="1">
      <c r="A159" s="183">
        <v>64</v>
      </c>
      <c r="B159" s="253" t="s">
        <v>122</v>
      </c>
      <c r="C159" s="183" t="s">
        <v>624</v>
      </c>
      <c r="D159" s="334" t="s">
        <v>394</v>
      </c>
      <c r="E159" s="254">
        <v>60666.73</v>
      </c>
      <c r="F159" s="254">
        <v>15200</v>
      </c>
      <c r="G159" s="341">
        <f t="shared" si="19"/>
        <v>0.25054918898711037</v>
      </c>
      <c r="H159" s="254">
        <v>45466.73</v>
      </c>
      <c r="I159" s="341">
        <f t="shared" si="20"/>
        <v>0.7494508110128896</v>
      </c>
      <c r="J159" s="284"/>
      <c r="IV159" s="282"/>
    </row>
    <row r="160" spans="1:256" s="281" customFormat="1" ht="84.75" customHeight="1">
      <c r="A160" s="183">
        <v>65</v>
      </c>
      <c r="B160" s="253" t="s">
        <v>122</v>
      </c>
      <c r="C160" s="183" t="s">
        <v>625</v>
      </c>
      <c r="D160" s="334" t="s">
        <v>394</v>
      </c>
      <c r="E160" s="276">
        <v>219051.97</v>
      </c>
      <c r="F160" s="254">
        <v>22272</v>
      </c>
      <c r="G160" s="341">
        <f t="shared" si="19"/>
        <v>0.10167450217407312</v>
      </c>
      <c r="H160" s="276">
        <v>196779.97</v>
      </c>
      <c r="I160" s="341">
        <f t="shared" si="20"/>
        <v>0.8983254978259269</v>
      </c>
      <c r="J160" s="284"/>
      <c r="IV160" s="282"/>
    </row>
    <row r="161" spans="1:256" s="281" customFormat="1" ht="84.75" customHeight="1">
      <c r="A161" s="183">
        <v>66</v>
      </c>
      <c r="B161" s="253" t="s">
        <v>122</v>
      </c>
      <c r="C161" s="183" t="s">
        <v>626</v>
      </c>
      <c r="D161" s="334" t="s">
        <v>394</v>
      </c>
      <c r="E161" s="254">
        <v>15493.18</v>
      </c>
      <c r="F161" s="254">
        <v>12800</v>
      </c>
      <c r="G161" s="341">
        <f t="shared" si="19"/>
        <v>0.8261699663981183</v>
      </c>
      <c r="H161" s="342">
        <v>2693.18</v>
      </c>
      <c r="I161" s="341">
        <f t="shared" si="20"/>
        <v>0.1738300336018816</v>
      </c>
      <c r="J161" s="284"/>
      <c r="IV161" s="282"/>
    </row>
    <row r="162" spans="1:256" s="281" customFormat="1" ht="84.75" customHeight="1">
      <c r="A162" s="183">
        <v>67</v>
      </c>
      <c r="B162" s="253" t="s">
        <v>122</v>
      </c>
      <c r="C162" s="183" t="s">
        <v>627</v>
      </c>
      <c r="D162" s="334" t="s">
        <v>394</v>
      </c>
      <c r="E162" s="254">
        <v>51344.36</v>
      </c>
      <c r="F162" s="254">
        <v>22600</v>
      </c>
      <c r="G162" s="341">
        <f t="shared" si="19"/>
        <v>0.44016519049025055</v>
      </c>
      <c r="H162" s="254">
        <v>28744.36</v>
      </c>
      <c r="I162" s="341">
        <f t="shared" si="20"/>
        <v>0.5598348095097495</v>
      </c>
      <c r="J162" s="284"/>
      <c r="IV162" s="282"/>
    </row>
    <row r="163" spans="1:256" s="281" customFormat="1" ht="84.75" customHeight="1">
      <c r="A163" s="183">
        <v>68</v>
      </c>
      <c r="B163" s="253" t="s">
        <v>122</v>
      </c>
      <c r="C163" s="183" t="s">
        <v>628</v>
      </c>
      <c r="D163" s="334" t="s">
        <v>394</v>
      </c>
      <c r="E163" s="254">
        <v>10522.33</v>
      </c>
      <c r="F163" s="254">
        <v>10290</v>
      </c>
      <c r="G163" s="341">
        <f t="shared" si="19"/>
        <v>0.9779202895176259</v>
      </c>
      <c r="H163" s="254">
        <v>232.33</v>
      </c>
      <c r="I163" s="341">
        <f t="shared" si="20"/>
        <v>0.022079710482374153</v>
      </c>
      <c r="J163" s="284"/>
      <c r="IV163" s="282"/>
    </row>
    <row r="164" spans="1:256" s="281" customFormat="1" ht="84.75" customHeight="1">
      <c r="A164" s="183">
        <v>69</v>
      </c>
      <c r="B164" s="253" t="s">
        <v>122</v>
      </c>
      <c r="C164" s="183" t="s">
        <v>629</v>
      </c>
      <c r="D164" s="334" t="s">
        <v>394</v>
      </c>
      <c r="E164" s="276" t="s">
        <v>119</v>
      </c>
      <c r="F164" s="254">
        <v>4400</v>
      </c>
      <c r="G164" s="341"/>
      <c r="H164" s="276" t="s">
        <v>119</v>
      </c>
      <c r="I164" s="341"/>
      <c r="J164" s="284"/>
      <c r="IV164" s="282"/>
    </row>
    <row r="165" spans="1:256" s="285" customFormat="1" ht="84.75" customHeight="1">
      <c r="A165" s="183">
        <v>70</v>
      </c>
      <c r="B165" s="253" t="s">
        <v>122</v>
      </c>
      <c r="C165" s="183" t="s">
        <v>614</v>
      </c>
      <c r="D165" s="334" t="s">
        <v>394</v>
      </c>
      <c r="E165" s="254">
        <v>2530000</v>
      </c>
      <c r="F165" s="254">
        <v>2500000</v>
      </c>
      <c r="G165" s="341">
        <f t="shared" si="19"/>
        <v>0.9881422924901185</v>
      </c>
      <c r="H165" s="254">
        <v>30000</v>
      </c>
      <c r="I165" s="341">
        <f t="shared" si="20"/>
        <v>0.011857707509881422</v>
      </c>
      <c r="J165" s="284"/>
      <c r="IV165" s="286"/>
    </row>
    <row r="166" spans="1:256" s="285" customFormat="1" ht="21" customHeight="1">
      <c r="A166" s="320"/>
      <c r="B166" s="320"/>
      <c r="C166" s="320"/>
      <c r="D166" s="349"/>
      <c r="E166" s="350">
        <f>E95</f>
        <v>6529490.130000001</v>
      </c>
      <c r="F166" s="350">
        <f>F95</f>
        <v>4354460.01</v>
      </c>
      <c r="G166" s="350"/>
      <c r="H166" s="350">
        <f>H95</f>
        <v>2677293.52</v>
      </c>
      <c r="I166" s="350"/>
      <c r="J166" s="284"/>
      <c r="IV166" s="286"/>
    </row>
    <row r="167" spans="1:10" s="288" customFormat="1" ht="11.25">
      <c r="A167" s="318" t="s">
        <v>798</v>
      </c>
      <c r="B167" s="319"/>
      <c r="C167" s="319"/>
      <c r="D167" s="319"/>
      <c r="E167" s="319"/>
      <c r="F167" s="319"/>
      <c r="G167" s="319"/>
      <c r="H167" s="319"/>
      <c r="I167" s="287"/>
      <c r="J167" s="326"/>
    </row>
    <row r="168" spans="1:10" s="288" customFormat="1" ht="23.25" customHeight="1">
      <c r="A168" s="271" t="s">
        <v>365</v>
      </c>
      <c r="B168" s="315" t="s">
        <v>799</v>
      </c>
      <c r="C168" s="316"/>
      <c r="D168" s="289" t="s">
        <v>800</v>
      </c>
      <c r="E168" s="290">
        <f>SUM(E169)</f>
        <v>248600</v>
      </c>
      <c r="F168" s="291">
        <f>SUM(F169)</f>
        <v>180000</v>
      </c>
      <c r="G168" s="292">
        <f>F168/E168</f>
        <v>0.7240547063555913</v>
      </c>
      <c r="H168" s="291">
        <f>SUM(H169)</f>
        <v>68600</v>
      </c>
      <c r="I168" s="292">
        <f>H168/E168</f>
        <v>0.2759452936444087</v>
      </c>
      <c r="J168" s="326"/>
    </row>
    <row r="169" spans="1:9" s="295" customFormat="1" ht="33.75">
      <c r="A169" s="253">
        <v>1</v>
      </c>
      <c r="B169" s="183" t="s">
        <v>758</v>
      </c>
      <c r="C169" s="253" t="s">
        <v>630</v>
      </c>
      <c r="D169" s="253" t="s">
        <v>800</v>
      </c>
      <c r="E169" s="293">
        <v>248600</v>
      </c>
      <c r="F169" s="293">
        <v>180000</v>
      </c>
      <c r="G169" s="294">
        <v>0.7258</v>
      </c>
      <c r="H169" s="293">
        <v>68600</v>
      </c>
      <c r="I169" s="294">
        <v>0.2759</v>
      </c>
    </row>
    <row r="170" spans="1:10" s="298" customFormat="1" ht="11.25">
      <c r="A170" s="317"/>
      <c r="B170" s="316"/>
      <c r="C170" s="316"/>
      <c r="D170" s="296"/>
      <c r="E170" s="297">
        <f>E168</f>
        <v>248600</v>
      </c>
      <c r="F170" s="297">
        <f>F168</f>
        <v>180000</v>
      </c>
      <c r="G170" s="268">
        <f>G168</f>
        <v>0.7240547063555913</v>
      </c>
      <c r="H170" s="297">
        <f>H168</f>
        <v>68600</v>
      </c>
      <c r="I170" s="268">
        <f>I168</f>
        <v>0.2759452936444087</v>
      </c>
      <c r="J170" s="326"/>
    </row>
    <row r="172" ht="13.5">
      <c r="A172" s="229" t="s">
        <v>762</v>
      </c>
    </row>
  </sheetData>
  <mergeCells count="30">
    <mergeCell ref="A1:G1"/>
    <mergeCell ref="A5:H5"/>
    <mergeCell ref="A6:A7"/>
    <mergeCell ref="B6:B7"/>
    <mergeCell ref="C6:C7"/>
    <mergeCell ref="D6:D7"/>
    <mergeCell ref="E6:E7"/>
    <mergeCell ref="F6:G6"/>
    <mergeCell ref="H6:I6"/>
    <mergeCell ref="A8:G8"/>
    <mergeCell ref="B9:C9"/>
    <mergeCell ref="B23:C23"/>
    <mergeCell ref="B29:C29"/>
    <mergeCell ref="B52:C52"/>
    <mergeCell ref="B58:C58"/>
    <mergeCell ref="B65:C65"/>
    <mergeCell ref="B40:C40"/>
    <mergeCell ref="B43:C43"/>
    <mergeCell ref="A51:C51"/>
    <mergeCell ref="A50:C50"/>
    <mergeCell ref="A94:G94"/>
    <mergeCell ref="B95:C95"/>
    <mergeCell ref="B81:C81"/>
    <mergeCell ref="A73:C73"/>
    <mergeCell ref="A74:C74"/>
    <mergeCell ref="B75:C75"/>
    <mergeCell ref="B168:C168"/>
    <mergeCell ref="A170:C170"/>
    <mergeCell ref="A167:H167"/>
    <mergeCell ref="A166:C166"/>
  </mergeCells>
  <printOptions/>
  <pageMargins left="0.1968503937007874" right="0.1968503937007874" top="0.5905511811023623" bottom="0.787401574803149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="150" zoomScaleNormal="150" workbookViewId="0" topLeftCell="A1">
      <selection activeCell="B23" sqref="B23"/>
    </sheetView>
  </sheetViews>
  <sheetFormatPr defaultColWidth="9.140625" defaultRowHeight="12.75"/>
  <cols>
    <col min="1" max="1" width="4.140625" style="0" customWidth="1"/>
    <col min="2" max="2" width="20.8515625" style="0" customWidth="1"/>
    <col min="3" max="3" width="27.140625" style="0" customWidth="1"/>
    <col min="4" max="4" width="11.28125" style="0" customWidth="1"/>
    <col min="5" max="5" width="10.57421875" style="228" customWidth="1"/>
    <col min="6" max="6" width="17.8515625" style="0" customWidth="1"/>
  </cols>
  <sheetData>
    <row r="1" spans="1:5" s="139" customFormat="1" ht="24" customHeight="1">
      <c r="A1" s="379" t="s">
        <v>273</v>
      </c>
      <c r="B1" s="343"/>
      <c r="C1" s="343"/>
      <c r="D1" s="343"/>
      <c r="E1" s="343"/>
    </row>
    <row r="2" spans="1:6" s="139" customFormat="1" ht="14.25" customHeight="1">
      <c r="A2" s="138"/>
      <c r="B2" s="218"/>
      <c r="C2" s="218"/>
      <c r="D2" s="218"/>
      <c r="E2" s="226"/>
      <c r="F2" s="218"/>
    </row>
    <row r="3" spans="1:6" s="139" customFormat="1" ht="12.75">
      <c r="A3" s="140" t="s">
        <v>89</v>
      </c>
      <c r="B3" s="141"/>
      <c r="C3" s="140"/>
      <c r="D3" s="140"/>
      <c r="E3" s="227"/>
      <c r="F3" s="140"/>
    </row>
    <row r="4" spans="1:6" s="139" customFormat="1" ht="12.75">
      <c r="A4" s="140"/>
      <c r="B4" s="141"/>
      <c r="C4" s="140"/>
      <c r="D4" s="140"/>
      <c r="E4" s="227"/>
      <c r="F4" s="140"/>
    </row>
    <row r="5" spans="1:6" s="104" customFormat="1" ht="24" customHeight="1">
      <c r="A5" s="306" t="s">
        <v>815</v>
      </c>
      <c r="B5" s="304" t="s">
        <v>816</v>
      </c>
      <c r="C5" s="304" t="s">
        <v>356</v>
      </c>
      <c r="D5" s="304" t="s">
        <v>359</v>
      </c>
      <c r="E5" s="308" t="s">
        <v>90</v>
      </c>
      <c r="F5" s="304" t="s">
        <v>91</v>
      </c>
    </row>
    <row r="6" spans="1:6" s="104" customFormat="1" ht="21" customHeight="1">
      <c r="A6" s="307"/>
      <c r="B6" s="305"/>
      <c r="C6" s="305"/>
      <c r="D6" s="305"/>
      <c r="E6" s="309"/>
      <c r="F6" s="305"/>
    </row>
    <row r="7" spans="1:6" s="104" customFormat="1" ht="11.25">
      <c r="A7" s="347" t="s">
        <v>364</v>
      </c>
      <c r="B7" s="344"/>
      <c r="C7" s="344"/>
      <c r="D7" s="344"/>
      <c r="E7" s="344"/>
      <c r="F7" s="224"/>
    </row>
    <row r="8" spans="1:6" s="149" customFormat="1" ht="25.5" customHeight="1">
      <c r="A8" s="143" t="s">
        <v>931</v>
      </c>
      <c r="B8" s="348" t="s">
        <v>932</v>
      </c>
      <c r="C8" s="312"/>
      <c r="D8" s="143" t="s">
        <v>367</v>
      </c>
      <c r="E8" s="220">
        <f>SUM(E9:E10)</f>
        <v>416540</v>
      </c>
      <c r="F8" s="143"/>
    </row>
    <row r="9" spans="1:6" s="151" customFormat="1" ht="33.75">
      <c r="A9" s="145">
        <v>1</v>
      </c>
      <c r="B9" s="145" t="s">
        <v>932</v>
      </c>
      <c r="C9" s="145" t="s">
        <v>933</v>
      </c>
      <c r="D9" s="145" t="s">
        <v>367</v>
      </c>
      <c r="E9" s="225">
        <v>298860</v>
      </c>
      <c r="F9" s="225"/>
    </row>
    <row r="10" spans="1:6" s="151" customFormat="1" ht="33.75">
      <c r="A10" s="145">
        <v>2</v>
      </c>
      <c r="B10" s="145" t="s">
        <v>932</v>
      </c>
      <c r="C10" s="145" t="s">
        <v>379</v>
      </c>
      <c r="D10" s="145" t="s">
        <v>367</v>
      </c>
      <c r="E10" s="225">
        <v>117680</v>
      </c>
      <c r="F10" s="225"/>
    </row>
    <row r="11" spans="1:6" s="152" customFormat="1" ht="24.75" customHeight="1">
      <c r="A11" s="143" t="s">
        <v>78</v>
      </c>
      <c r="B11" s="348" t="s">
        <v>810</v>
      </c>
      <c r="C11" s="312"/>
      <c r="D11" s="143" t="s">
        <v>367</v>
      </c>
      <c r="E11" s="220">
        <f>SUM(E12:E13)</f>
        <v>17771</v>
      </c>
      <c r="F11" s="143"/>
    </row>
    <row r="12" spans="1:6" s="152" customFormat="1" ht="24.75" customHeight="1">
      <c r="A12" s="100">
        <v>1</v>
      </c>
      <c r="B12" s="146" t="s">
        <v>678</v>
      </c>
      <c r="C12" s="146" t="s">
        <v>724</v>
      </c>
      <c r="D12" s="145" t="s">
        <v>367</v>
      </c>
      <c r="E12" s="84">
        <v>10000</v>
      </c>
      <c r="F12" s="84"/>
    </row>
    <row r="13" spans="1:6" s="152" customFormat="1" ht="33.75">
      <c r="A13" s="100">
        <v>4</v>
      </c>
      <c r="B13" s="146" t="s">
        <v>74</v>
      </c>
      <c r="C13" s="146" t="s">
        <v>724</v>
      </c>
      <c r="D13" s="145" t="s">
        <v>367</v>
      </c>
      <c r="E13" s="84">
        <v>7771</v>
      </c>
      <c r="F13" s="84"/>
    </row>
    <row r="14" spans="1:6" s="152" customFormat="1" ht="11.25">
      <c r="A14" s="347" t="s">
        <v>771</v>
      </c>
      <c r="B14" s="312"/>
      <c r="C14" s="312"/>
      <c r="D14" s="142"/>
      <c r="E14" s="153"/>
      <c r="F14" s="142"/>
    </row>
    <row r="15" spans="1:6" s="152" customFormat="1" ht="24" customHeight="1">
      <c r="A15" s="143" t="s">
        <v>387</v>
      </c>
      <c r="B15" s="348" t="s">
        <v>892</v>
      </c>
      <c r="C15" s="348"/>
      <c r="D15" s="143" t="s">
        <v>367</v>
      </c>
      <c r="E15" s="220">
        <f>SUM(E16)</f>
        <v>9000</v>
      </c>
      <c r="F15" s="143"/>
    </row>
    <row r="16" spans="1:6" s="152" customFormat="1" ht="33.75">
      <c r="A16" s="145">
        <v>1</v>
      </c>
      <c r="B16" s="146" t="s">
        <v>893</v>
      </c>
      <c r="C16" s="146" t="s">
        <v>1003</v>
      </c>
      <c r="D16" s="145" t="s">
        <v>367</v>
      </c>
      <c r="E16" s="225">
        <v>9000</v>
      </c>
      <c r="F16" s="84"/>
    </row>
    <row r="17" spans="1:6" s="104" customFormat="1" ht="9.75">
      <c r="A17" s="347" t="s">
        <v>225</v>
      </c>
      <c r="B17" s="312"/>
      <c r="C17" s="312"/>
      <c r="D17" s="312"/>
      <c r="E17" s="312"/>
      <c r="F17" s="224"/>
    </row>
    <row r="18" spans="1:6" s="104" customFormat="1" ht="22.5">
      <c r="A18" s="143" t="s">
        <v>365</v>
      </c>
      <c r="B18" s="348" t="s">
        <v>226</v>
      </c>
      <c r="C18" s="312"/>
      <c r="D18" s="143" t="s">
        <v>394</v>
      </c>
      <c r="E18" s="220">
        <f>SUM(E19:E21)</f>
        <v>5780.66</v>
      </c>
      <c r="F18" s="143"/>
    </row>
    <row r="19" spans="1:6" s="104" customFormat="1" ht="24" customHeight="1">
      <c r="A19" s="145">
        <v>1</v>
      </c>
      <c r="B19" s="145" t="s">
        <v>226</v>
      </c>
      <c r="C19" s="145" t="s">
        <v>547</v>
      </c>
      <c r="D19" s="145" t="s">
        <v>394</v>
      </c>
      <c r="E19" s="84">
        <v>1700</v>
      </c>
      <c r="F19" s="145"/>
    </row>
    <row r="20" spans="1:6" s="159" customFormat="1" ht="22.5">
      <c r="A20" s="145">
        <v>2</v>
      </c>
      <c r="B20" s="145" t="s">
        <v>226</v>
      </c>
      <c r="C20" s="145" t="s">
        <v>547</v>
      </c>
      <c r="D20" s="145" t="s">
        <v>394</v>
      </c>
      <c r="E20" s="84">
        <v>2150.26</v>
      </c>
      <c r="F20" s="145"/>
    </row>
    <row r="21" spans="1:6" s="159" customFormat="1" ht="22.5">
      <c r="A21" s="145">
        <v>3</v>
      </c>
      <c r="B21" s="145" t="s">
        <v>226</v>
      </c>
      <c r="C21" s="145" t="s">
        <v>548</v>
      </c>
      <c r="D21" s="145" t="s">
        <v>394</v>
      </c>
      <c r="E21" s="84">
        <v>1930.4</v>
      </c>
      <c r="F21" s="145"/>
    </row>
    <row r="22" spans="1:6" s="104" customFormat="1" ht="22.5">
      <c r="A22" s="143" t="s">
        <v>376</v>
      </c>
      <c r="B22" s="348" t="s">
        <v>521</v>
      </c>
      <c r="C22" s="312"/>
      <c r="D22" s="143" t="s">
        <v>394</v>
      </c>
      <c r="E22" s="220">
        <f>SUM(E23)</f>
        <v>1700</v>
      </c>
      <c r="F22" s="143"/>
    </row>
    <row r="23" spans="1:6" s="159" customFormat="1" ht="22.5" customHeight="1">
      <c r="A23" s="145">
        <v>1</v>
      </c>
      <c r="B23" s="145" t="s">
        <v>549</v>
      </c>
      <c r="C23" s="145" t="s">
        <v>550</v>
      </c>
      <c r="D23" s="145" t="s">
        <v>394</v>
      </c>
      <c r="E23" s="84">
        <v>1700</v>
      </c>
      <c r="F23" s="145"/>
    </row>
    <row r="24" spans="1:6" s="164" customFormat="1" ht="12.75">
      <c r="A24" s="165"/>
      <c r="B24" s="163"/>
      <c r="C24"/>
      <c r="D24"/>
      <c r="E24" s="228"/>
      <c r="F24"/>
    </row>
  </sheetData>
  <mergeCells count="15">
    <mergeCell ref="A1:E1"/>
    <mergeCell ref="A5:A6"/>
    <mergeCell ref="B5:B6"/>
    <mergeCell ref="C5:C6"/>
    <mergeCell ref="D5:D6"/>
    <mergeCell ref="E5:E6"/>
    <mergeCell ref="A14:C14"/>
    <mergeCell ref="B8:C8"/>
    <mergeCell ref="B11:C11"/>
    <mergeCell ref="F5:F6"/>
    <mergeCell ref="A7:E7"/>
    <mergeCell ref="A17:E17"/>
    <mergeCell ref="B18:C18"/>
    <mergeCell ref="B22:C22"/>
    <mergeCell ref="B15:C15"/>
  </mergeCells>
  <printOptions/>
  <pageMargins left="0.3937007874015748" right="0.3937007874015748" top="0.3937007874015748" bottom="0.787401574803149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37"/>
  <sheetViews>
    <sheetView zoomScale="150" zoomScaleNormal="150" workbookViewId="0" topLeftCell="A208">
      <selection activeCell="A207" sqref="A207:IV207"/>
    </sheetView>
  </sheetViews>
  <sheetFormatPr defaultColWidth="9.140625" defaultRowHeight="12.75"/>
  <cols>
    <col min="1" max="1" width="4.140625" style="189" customWidth="1"/>
    <col min="2" max="2" width="28.421875" style="189" customWidth="1"/>
    <col min="3" max="3" width="29.00390625" style="189" customWidth="1"/>
    <col min="4" max="4" width="11.28125" style="189" customWidth="1"/>
    <col min="5" max="5" width="12.00390625" style="199" customWidth="1"/>
  </cols>
  <sheetData>
    <row r="1" spans="1:5" s="139" customFormat="1" ht="24" customHeight="1">
      <c r="A1" s="381" t="s">
        <v>273</v>
      </c>
      <c r="B1" s="382"/>
      <c r="C1" s="382"/>
      <c r="D1" s="382"/>
      <c r="E1" s="382"/>
    </row>
    <row r="2" spans="1:5" s="139" customFormat="1" ht="14.25" customHeight="1">
      <c r="A2" s="191"/>
      <c r="B2" s="190"/>
      <c r="C2" s="190"/>
      <c r="D2" s="190"/>
      <c r="E2" s="202"/>
    </row>
    <row r="3" spans="1:5" s="139" customFormat="1" ht="12">
      <c r="A3" s="189" t="s">
        <v>444</v>
      </c>
      <c r="B3" s="192"/>
      <c r="C3" s="189"/>
      <c r="D3" s="189"/>
      <c r="E3" s="199"/>
    </row>
    <row r="4" spans="1:5" s="139" customFormat="1" ht="12">
      <c r="A4" s="189"/>
      <c r="B4" s="192"/>
      <c r="C4" s="189"/>
      <c r="D4" s="189"/>
      <c r="E4" s="199"/>
    </row>
    <row r="5" spans="1:5" s="104" customFormat="1" ht="24" customHeight="1">
      <c r="A5" s="383" t="s">
        <v>815</v>
      </c>
      <c r="B5" s="385" t="s">
        <v>816</v>
      </c>
      <c r="C5" s="385" t="s">
        <v>356</v>
      </c>
      <c r="D5" s="385" t="s">
        <v>359</v>
      </c>
      <c r="E5" s="387" t="s">
        <v>445</v>
      </c>
    </row>
    <row r="6" spans="1:5" s="104" customFormat="1" ht="21" customHeight="1">
      <c r="A6" s="384"/>
      <c r="B6" s="386"/>
      <c r="C6" s="386"/>
      <c r="D6" s="386"/>
      <c r="E6" s="388"/>
    </row>
    <row r="7" spans="1:5" s="104" customFormat="1" ht="11.25">
      <c r="A7" s="310" t="s">
        <v>364</v>
      </c>
      <c r="B7" s="380"/>
      <c r="C7" s="380"/>
      <c r="D7" s="380"/>
      <c r="E7" s="380"/>
    </row>
    <row r="8" spans="1:5" s="149" customFormat="1" ht="11.25">
      <c r="A8" s="173" t="s">
        <v>695</v>
      </c>
      <c r="B8" s="389" t="s">
        <v>807</v>
      </c>
      <c r="C8" s="389"/>
      <c r="D8" s="173" t="s">
        <v>367</v>
      </c>
      <c r="E8" s="203"/>
    </row>
    <row r="9" spans="1:5" s="150" customFormat="1" ht="22.5">
      <c r="A9" s="168">
        <v>1</v>
      </c>
      <c r="B9" s="168" t="s">
        <v>882</v>
      </c>
      <c r="C9" s="168" t="s">
        <v>883</v>
      </c>
      <c r="D9" s="168" t="s">
        <v>367</v>
      </c>
      <c r="E9" s="193">
        <v>45424</v>
      </c>
    </row>
    <row r="10" spans="1:5" s="149" customFormat="1" ht="11.25">
      <c r="A10" s="173" t="s">
        <v>276</v>
      </c>
      <c r="B10" s="389" t="s">
        <v>809</v>
      </c>
      <c r="C10" s="390"/>
      <c r="D10" s="173" t="s">
        <v>367</v>
      </c>
      <c r="E10" s="203"/>
    </row>
    <row r="11" spans="1:5" s="150" customFormat="1" ht="22.5">
      <c r="A11" s="168">
        <v>1</v>
      </c>
      <c r="B11" s="168" t="s">
        <v>983</v>
      </c>
      <c r="C11" s="168" t="s">
        <v>491</v>
      </c>
      <c r="D11" s="168" t="s">
        <v>367</v>
      </c>
      <c r="E11" s="193">
        <v>147702.8</v>
      </c>
    </row>
    <row r="12" spans="1:5" s="150" customFormat="1" ht="22.5">
      <c r="A12" s="168">
        <v>2</v>
      </c>
      <c r="B12" s="168" t="s">
        <v>884</v>
      </c>
      <c r="C12" s="168" t="s">
        <v>442</v>
      </c>
      <c r="D12" s="168" t="s">
        <v>367</v>
      </c>
      <c r="E12" s="193">
        <v>100214.76</v>
      </c>
    </row>
    <row r="13" spans="1:5" s="150" customFormat="1" ht="22.5">
      <c r="A13" s="168">
        <v>3</v>
      </c>
      <c r="B13" s="168" t="s">
        <v>441</v>
      </c>
      <c r="C13" s="168" t="s">
        <v>984</v>
      </c>
      <c r="D13" s="168" t="s">
        <v>367</v>
      </c>
      <c r="E13" s="193">
        <v>152291</v>
      </c>
    </row>
    <row r="14" spans="1:5" s="197" customFormat="1" ht="11.25">
      <c r="A14" s="391" t="s">
        <v>446</v>
      </c>
      <c r="B14" s="392"/>
      <c r="C14" s="393"/>
      <c r="D14" s="194"/>
      <c r="E14" s="196">
        <f>SUM(E11:E13)</f>
        <v>400208.56</v>
      </c>
    </row>
    <row r="15" spans="1:5" s="149" customFormat="1" ht="11.25">
      <c r="A15" s="173" t="s">
        <v>432</v>
      </c>
      <c r="B15" s="389" t="s">
        <v>433</v>
      </c>
      <c r="C15" s="389"/>
      <c r="D15" s="173" t="s">
        <v>367</v>
      </c>
      <c r="E15" s="203"/>
    </row>
    <row r="16" spans="1:5" s="38" customFormat="1" ht="33.75">
      <c r="A16" s="168">
        <v>1</v>
      </c>
      <c r="B16" s="168" t="s">
        <v>434</v>
      </c>
      <c r="C16" s="168" t="s">
        <v>443</v>
      </c>
      <c r="D16" s="168" t="s">
        <v>367</v>
      </c>
      <c r="E16" s="193">
        <v>405311.4</v>
      </c>
    </row>
    <row r="17" spans="1:5" s="38" customFormat="1" ht="33.75">
      <c r="A17" s="168">
        <v>2</v>
      </c>
      <c r="B17" s="168" t="s">
        <v>437</v>
      </c>
      <c r="C17" s="168" t="s">
        <v>443</v>
      </c>
      <c r="D17" s="168" t="s">
        <v>367</v>
      </c>
      <c r="E17" s="193">
        <v>260731.3</v>
      </c>
    </row>
    <row r="18" spans="1:5" s="38" customFormat="1" ht="33.75">
      <c r="A18" s="168">
        <v>3</v>
      </c>
      <c r="B18" s="168" t="s">
        <v>923</v>
      </c>
      <c r="C18" s="168" t="s">
        <v>443</v>
      </c>
      <c r="D18" s="168" t="s">
        <v>367</v>
      </c>
      <c r="E18" s="193">
        <v>364073.78</v>
      </c>
    </row>
    <row r="19" spans="1:5" s="38" customFormat="1" ht="33.75">
      <c r="A19" s="168">
        <v>4</v>
      </c>
      <c r="B19" s="168" t="s">
        <v>924</v>
      </c>
      <c r="C19" s="168" t="s">
        <v>443</v>
      </c>
      <c r="D19" s="168" t="s">
        <v>367</v>
      </c>
      <c r="E19" s="193">
        <v>760240.04</v>
      </c>
    </row>
    <row r="20" spans="1:5" s="38" customFormat="1" ht="33.75">
      <c r="A20" s="168">
        <v>5</v>
      </c>
      <c r="B20" s="168" t="s">
        <v>925</v>
      </c>
      <c r="C20" s="168" t="s">
        <v>443</v>
      </c>
      <c r="D20" s="168" t="s">
        <v>367</v>
      </c>
      <c r="E20" s="193">
        <v>307967.6</v>
      </c>
    </row>
    <row r="21" spans="1:5" s="38" customFormat="1" ht="33.75">
      <c r="A21" s="168">
        <v>6</v>
      </c>
      <c r="B21" s="168" t="s">
        <v>926</v>
      </c>
      <c r="C21" s="168" t="s">
        <v>443</v>
      </c>
      <c r="D21" s="168" t="s">
        <v>367</v>
      </c>
      <c r="E21" s="193">
        <v>354441.73</v>
      </c>
    </row>
    <row r="22" spans="1:5" s="38" customFormat="1" ht="22.5">
      <c r="A22" s="168">
        <v>7</v>
      </c>
      <c r="B22" s="168" t="s">
        <v>927</v>
      </c>
      <c r="C22" s="168" t="s">
        <v>985</v>
      </c>
      <c r="D22" s="168" t="s">
        <v>367</v>
      </c>
      <c r="E22" s="193">
        <v>141641.46</v>
      </c>
    </row>
    <row r="23" spans="1:5" s="39" customFormat="1" ht="22.5">
      <c r="A23" s="168">
        <v>8</v>
      </c>
      <c r="B23" s="168" t="s">
        <v>677</v>
      </c>
      <c r="C23" s="168" t="s">
        <v>985</v>
      </c>
      <c r="D23" s="168" t="s">
        <v>367</v>
      </c>
      <c r="E23" s="193">
        <v>227908.9</v>
      </c>
    </row>
    <row r="24" spans="1:5" s="149" customFormat="1" ht="22.5">
      <c r="A24" s="168">
        <v>9</v>
      </c>
      <c r="B24" s="168" t="s">
        <v>447</v>
      </c>
      <c r="C24" s="168" t="s">
        <v>986</v>
      </c>
      <c r="D24" s="168" t="s">
        <v>367</v>
      </c>
      <c r="E24" s="193">
        <v>246785.8</v>
      </c>
    </row>
    <row r="25" spans="1:5" s="195" customFormat="1" ht="11.25">
      <c r="A25" s="391" t="s">
        <v>446</v>
      </c>
      <c r="B25" s="392"/>
      <c r="C25" s="393"/>
      <c r="D25" s="194"/>
      <c r="E25" s="196">
        <f>SUM(E16:E24)</f>
        <v>3069102.01</v>
      </c>
    </row>
    <row r="26" spans="1:5" s="149" customFormat="1" ht="25.5" customHeight="1">
      <c r="A26" s="173" t="s">
        <v>931</v>
      </c>
      <c r="B26" s="389" t="s">
        <v>932</v>
      </c>
      <c r="C26" s="390"/>
      <c r="D26" s="173" t="s">
        <v>367</v>
      </c>
      <c r="E26" s="203"/>
    </row>
    <row r="27" spans="1:5" s="39" customFormat="1" ht="38.25" customHeight="1">
      <c r="A27" s="168">
        <v>1</v>
      </c>
      <c r="B27" s="168" t="s">
        <v>932</v>
      </c>
      <c r="C27" s="168" t="s">
        <v>933</v>
      </c>
      <c r="D27" s="168" t="s">
        <v>367</v>
      </c>
      <c r="E27" s="193">
        <v>220802.08</v>
      </c>
    </row>
    <row r="28" spans="1:5" s="39" customFormat="1" ht="39" customHeight="1">
      <c r="A28" s="168">
        <v>2</v>
      </c>
      <c r="B28" s="168" t="s">
        <v>932</v>
      </c>
      <c r="C28" s="168" t="s">
        <v>57</v>
      </c>
      <c r="D28" s="168" t="s">
        <v>367</v>
      </c>
      <c r="E28" s="193">
        <v>9945</v>
      </c>
    </row>
    <row r="29" spans="1:5" s="39" customFormat="1" ht="34.5" customHeight="1">
      <c r="A29" s="168">
        <v>3</v>
      </c>
      <c r="B29" s="168" t="s">
        <v>932</v>
      </c>
      <c r="C29" s="168" t="s">
        <v>59</v>
      </c>
      <c r="D29" s="168" t="s">
        <v>367</v>
      </c>
      <c r="E29" s="193">
        <v>11920</v>
      </c>
    </row>
    <row r="30" spans="1:5" s="198" customFormat="1" ht="11.25">
      <c r="A30" s="391" t="s">
        <v>446</v>
      </c>
      <c r="B30" s="392"/>
      <c r="C30" s="393"/>
      <c r="D30" s="194"/>
      <c r="E30" s="196">
        <f>SUM(E27:E29)</f>
        <v>242667.08</v>
      </c>
    </row>
    <row r="31" spans="1:5" s="152" customFormat="1" ht="11.25">
      <c r="A31" s="173" t="s">
        <v>64</v>
      </c>
      <c r="B31" s="389" t="s">
        <v>65</v>
      </c>
      <c r="C31" s="390"/>
      <c r="D31" s="173" t="s">
        <v>367</v>
      </c>
      <c r="E31" s="203"/>
    </row>
    <row r="32" spans="1:5" s="39" customFormat="1" ht="33.75" customHeight="1">
      <c r="A32" s="168">
        <v>1</v>
      </c>
      <c r="B32" s="168" t="s">
        <v>66</v>
      </c>
      <c r="C32" s="168" t="s">
        <v>451</v>
      </c>
      <c r="D32" s="168" t="s">
        <v>367</v>
      </c>
      <c r="E32" s="193">
        <v>374787</v>
      </c>
    </row>
    <row r="33" spans="1:5" s="39" customFormat="1" ht="39.75" customHeight="1">
      <c r="A33" s="168">
        <v>2</v>
      </c>
      <c r="B33" s="168" t="s">
        <v>68</v>
      </c>
      <c r="C33" s="168" t="s">
        <v>452</v>
      </c>
      <c r="D33" s="168" t="s">
        <v>367</v>
      </c>
      <c r="E33" s="193">
        <v>387235.65</v>
      </c>
    </row>
    <row r="34" spans="1:5" s="198" customFormat="1" ht="11.25">
      <c r="A34" s="391" t="s">
        <v>446</v>
      </c>
      <c r="B34" s="392"/>
      <c r="C34" s="393"/>
      <c r="D34" s="194"/>
      <c r="E34" s="196">
        <f>SUM(E32:E33)</f>
        <v>762022.65</v>
      </c>
    </row>
    <row r="35" spans="1:5" s="104" customFormat="1" ht="11.25">
      <c r="A35" s="310" t="s">
        <v>698</v>
      </c>
      <c r="B35" s="310"/>
      <c r="C35" s="310"/>
      <c r="D35" s="174"/>
      <c r="E35" s="206"/>
    </row>
    <row r="36" spans="1:5" s="104" customFormat="1" ht="56.25">
      <c r="A36" s="173" t="s">
        <v>376</v>
      </c>
      <c r="B36" s="389" t="s">
        <v>221</v>
      </c>
      <c r="C36" s="390"/>
      <c r="D36" s="173" t="s">
        <v>222</v>
      </c>
      <c r="E36" s="203"/>
    </row>
    <row r="37" spans="1:5" s="104" customFormat="1" ht="56.25">
      <c r="A37" s="168">
        <v>1</v>
      </c>
      <c r="B37" s="187" t="s">
        <v>525</v>
      </c>
      <c r="C37" s="168" t="s">
        <v>453</v>
      </c>
      <c r="D37" s="168" t="s">
        <v>222</v>
      </c>
      <c r="E37" s="193">
        <v>25974</v>
      </c>
    </row>
    <row r="38" spans="1:5" s="104" customFormat="1" ht="56.25">
      <c r="A38" s="168">
        <v>2</v>
      </c>
      <c r="B38" s="187" t="s">
        <v>991</v>
      </c>
      <c r="C38" s="168" t="s">
        <v>454</v>
      </c>
      <c r="D38" s="168" t="s">
        <v>222</v>
      </c>
      <c r="E38" s="193">
        <v>20997</v>
      </c>
    </row>
    <row r="39" spans="1:5" s="104" customFormat="1" ht="56.25">
      <c r="A39" s="168">
        <v>3</v>
      </c>
      <c r="B39" s="168" t="s">
        <v>683</v>
      </c>
      <c r="C39" s="168" t="s">
        <v>455</v>
      </c>
      <c r="D39" s="168" t="s">
        <v>222</v>
      </c>
      <c r="E39" s="193">
        <v>20000</v>
      </c>
    </row>
    <row r="40" spans="1:5" s="200" customFormat="1" ht="11.25">
      <c r="A40" s="394" t="s">
        <v>446</v>
      </c>
      <c r="B40" s="395"/>
      <c r="C40" s="396"/>
      <c r="D40" s="194"/>
      <c r="E40" s="196">
        <f>SUM(E37:E39)</f>
        <v>66971</v>
      </c>
    </row>
    <row r="41" spans="1:5" s="104" customFormat="1" ht="66" customHeight="1">
      <c r="A41" s="173" t="s">
        <v>693</v>
      </c>
      <c r="B41" s="389" t="s">
        <v>237</v>
      </c>
      <c r="C41" s="390"/>
      <c r="D41" s="173" t="s">
        <v>222</v>
      </c>
      <c r="E41" s="203"/>
    </row>
    <row r="42" spans="1:5" s="201" customFormat="1" ht="66" customHeight="1">
      <c r="A42" s="188">
        <v>1</v>
      </c>
      <c r="B42" s="187" t="s">
        <v>540</v>
      </c>
      <c r="C42" s="188" t="s">
        <v>4</v>
      </c>
      <c r="D42" s="168" t="s">
        <v>222</v>
      </c>
      <c r="E42" s="204">
        <v>11200</v>
      </c>
    </row>
    <row r="43" spans="1:5" s="201" customFormat="1" ht="66" customHeight="1">
      <c r="A43" s="188">
        <v>2</v>
      </c>
      <c r="B43" s="187" t="s">
        <v>545</v>
      </c>
      <c r="C43" s="188" t="s">
        <v>987</v>
      </c>
      <c r="D43" s="168" t="s">
        <v>222</v>
      </c>
      <c r="E43" s="204">
        <v>1933.79</v>
      </c>
    </row>
    <row r="44" spans="1:5" s="104" customFormat="1" ht="56.25">
      <c r="A44" s="188">
        <v>3</v>
      </c>
      <c r="B44" s="187" t="s">
        <v>690</v>
      </c>
      <c r="C44" s="181" t="s">
        <v>6</v>
      </c>
      <c r="D44" s="168" t="s">
        <v>222</v>
      </c>
      <c r="E44" s="193">
        <v>4000</v>
      </c>
    </row>
    <row r="45" spans="1:5" s="104" customFormat="1" ht="56.25">
      <c r="A45" s="188">
        <v>4</v>
      </c>
      <c r="B45" s="187" t="s">
        <v>686</v>
      </c>
      <c r="C45" s="181" t="s">
        <v>6</v>
      </c>
      <c r="D45" s="168" t="s">
        <v>222</v>
      </c>
      <c r="E45" s="193">
        <v>20097</v>
      </c>
    </row>
    <row r="46" spans="1:5" s="104" customFormat="1" ht="56.25">
      <c r="A46" s="188">
        <v>5</v>
      </c>
      <c r="B46" s="187" t="s">
        <v>688</v>
      </c>
      <c r="C46" s="181" t="s">
        <v>6</v>
      </c>
      <c r="D46" s="168" t="s">
        <v>222</v>
      </c>
      <c r="E46" s="193">
        <v>4884</v>
      </c>
    </row>
    <row r="47" spans="1:5" s="104" customFormat="1" ht="56.25">
      <c r="A47" s="188">
        <v>6</v>
      </c>
      <c r="B47" s="187" t="s">
        <v>546</v>
      </c>
      <c r="C47" s="181" t="s">
        <v>7</v>
      </c>
      <c r="D47" s="168" t="s">
        <v>222</v>
      </c>
      <c r="E47" s="193">
        <v>21875</v>
      </c>
    </row>
    <row r="48" spans="1:5" s="104" customFormat="1" ht="56.25">
      <c r="A48" s="188">
        <v>7</v>
      </c>
      <c r="B48" s="187" t="s">
        <v>0</v>
      </c>
      <c r="C48" s="181" t="s">
        <v>8</v>
      </c>
      <c r="D48" s="168" t="s">
        <v>222</v>
      </c>
      <c r="E48" s="193">
        <v>1680</v>
      </c>
    </row>
    <row r="49" spans="1:5" s="104" customFormat="1" ht="56.25">
      <c r="A49" s="188">
        <v>8</v>
      </c>
      <c r="B49" s="187" t="s">
        <v>687</v>
      </c>
      <c r="C49" s="181" t="s">
        <v>456</v>
      </c>
      <c r="D49" s="168" t="s">
        <v>222</v>
      </c>
      <c r="E49" s="193">
        <v>982.41</v>
      </c>
    </row>
    <row r="50" spans="1:5" s="104" customFormat="1" ht="56.25">
      <c r="A50" s="188">
        <v>9</v>
      </c>
      <c r="B50" s="187" t="s">
        <v>1</v>
      </c>
      <c r="C50" s="181" t="s">
        <v>988</v>
      </c>
      <c r="D50" s="168" t="s">
        <v>222</v>
      </c>
      <c r="E50" s="193">
        <v>8344.8</v>
      </c>
    </row>
    <row r="51" spans="1:5" s="200" customFormat="1" ht="12.75">
      <c r="A51" s="391" t="s">
        <v>446</v>
      </c>
      <c r="B51" s="397"/>
      <c r="C51" s="398"/>
      <c r="D51" s="194"/>
      <c r="E51" s="196">
        <f>SUM(E42:E50)</f>
        <v>74997.00000000001</v>
      </c>
    </row>
    <row r="52" spans="1:5" s="152" customFormat="1" ht="11.25">
      <c r="A52" s="310" t="s">
        <v>771</v>
      </c>
      <c r="B52" s="390"/>
      <c r="C52" s="390"/>
      <c r="D52" s="177"/>
      <c r="E52" s="206"/>
    </row>
    <row r="53" spans="1:5" s="149" customFormat="1" ht="24" customHeight="1">
      <c r="A53" s="173" t="s">
        <v>365</v>
      </c>
      <c r="B53" s="389" t="s">
        <v>772</v>
      </c>
      <c r="C53" s="389"/>
      <c r="D53" s="173" t="s">
        <v>367</v>
      </c>
      <c r="E53" s="203"/>
    </row>
    <row r="54" spans="1:5" s="40" customFormat="1" ht="36.75" customHeight="1">
      <c r="A54" s="168">
        <v>1</v>
      </c>
      <c r="B54" s="168" t="s">
        <v>773</v>
      </c>
      <c r="C54" s="168" t="s">
        <v>774</v>
      </c>
      <c r="D54" s="168" t="s">
        <v>367</v>
      </c>
      <c r="E54" s="193">
        <v>239381.65</v>
      </c>
    </row>
    <row r="55" spans="1:5" s="40" customFormat="1" ht="33.75">
      <c r="A55" s="168">
        <v>2</v>
      </c>
      <c r="B55" s="168" t="s">
        <v>777</v>
      </c>
      <c r="C55" s="181" t="s">
        <v>778</v>
      </c>
      <c r="D55" s="168" t="s">
        <v>367</v>
      </c>
      <c r="E55" s="193">
        <v>260549.97</v>
      </c>
    </row>
    <row r="56" spans="1:5" s="40" customFormat="1" ht="33.75">
      <c r="A56" s="168">
        <v>3</v>
      </c>
      <c r="B56" s="168" t="s">
        <v>779</v>
      </c>
      <c r="C56" s="181" t="s">
        <v>780</v>
      </c>
      <c r="D56" s="168" t="s">
        <v>367</v>
      </c>
      <c r="E56" s="193">
        <v>8389.35</v>
      </c>
    </row>
    <row r="57" spans="1:5" s="40" customFormat="1" ht="33.75">
      <c r="A57" s="168">
        <v>4</v>
      </c>
      <c r="B57" s="168" t="s">
        <v>782</v>
      </c>
      <c r="C57" s="181" t="s">
        <v>780</v>
      </c>
      <c r="D57" s="168" t="s">
        <v>367</v>
      </c>
      <c r="E57" s="193">
        <v>38597.81</v>
      </c>
    </row>
    <row r="58" spans="1:5" s="40" customFormat="1" ht="33.75">
      <c r="A58" s="168">
        <v>5</v>
      </c>
      <c r="B58" s="168" t="s">
        <v>783</v>
      </c>
      <c r="C58" s="181" t="s">
        <v>778</v>
      </c>
      <c r="D58" s="168" t="s">
        <v>367</v>
      </c>
      <c r="E58" s="193">
        <v>79319.88</v>
      </c>
    </row>
    <row r="59" spans="1:5" s="40" customFormat="1" ht="33.75">
      <c r="A59" s="168">
        <v>6</v>
      </c>
      <c r="B59" s="168" t="s">
        <v>784</v>
      </c>
      <c r="C59" s="181" t="s">
        <v>778</v>
      </c>
      <c r="D59" s="168" t="s">
        <v>367</v>
      </c>
      <c r="E59" s="193">
        <v>4120</v>
      </c>
    </row>
    <row r="60" spans="1:5" s="40" customFormat="1" ht="36.75" customHeight="1">
      <c r="A60" s="168">
        <v>7</v>
      </c>
      <c r="B60" s="168" t="s">
        <v>784</v>
      </c>
      <c r="C60" s="168" t="s">
        <v>785</v>
      </c>
      <c r="D60" s="168" t="s">
        <v>367</v>
      </c>
      <c r="E60" s="193">
        <v>6853</v>
      </c>
    </row>
    <row r="61" spans="1:5" s="40" customFormat="1" ht="37.5" customHeight="1">
      <c r="A61" s="168">
        <v>8</v>
      </c>
      <c r="B61" s="168" t="s">
        <v>783</v>
      </c>
      <c r="C61" s="168" t="s">
        <v>785</v>
      </c>
      <c r="D61" s="168" t="s">
        <v>367</v>
      </c>
      <c r="E61" s="193">
        <v>277868.5</v>
      </c>
    </row>
    <row r="62" spans="1:5" s="40" customFormat="1" ht="37.5" customHeight="1">
      <c r="A62" s="168">
        <v>9</v>
      </c>
      <c r="B62" s="168" t="s">
        <v>777</v>
      </c>
      <c r="C62" s="168" t="s">
        <v>785</v>
      </c>
      <c r="D62" s="168" t="s">
        <v>367</v>
      </c>
      <c r="E62" s="193">
        <v>603956.81</v>
      </c>
    </row>
    <row r="63" spans="1:5" s="40" customFormat="1" ht="22.5">
      <c r="A63" s="168">
        <v>10</v>
      </c>
      <c r="B63" s="168" t="s">
        <v>782</v>
      </c>
      <c r="C63" s="168" t="s">
        <v>785</v>
      </c>
      <c r="D63" s="168" t="s">
        <v>367</v>
      </c>
      <c r="E63" s="193">
        <v>34426.45</v>
      </c>
    </row>
    <row r="64" spans="1:5" s="40" customFormat="1" ht="33.75">
      <c r="A64" s="168">
        <v>11</v>
      </c>
      <c r="B64" s="168" t="s">
        <v>782</v>
      </c>
      <c r="C64" s="168" t="s">
        <v>786</v>
      </c>
      <c r="D64" s="168" t="s">
        <v>367</v>
      </c>
      <c r="E64" s="193">
        <v>24671.4</v>
      </c>
    </row>
    <row r="65" spans="1:5" s="40" customFormat="1" ht="33.75">
      <c r="A65" s="168">
        <v>12</v>
      </c>
      <c r="B65" s="168" t="s">
        <v>787</v>
      </c>
      <c r="C65" s="168" t="s">
        <v>786</v>
      </c>
      <c r="D65" s="168" t="s">
        <v>367</v>
      </c>
      <c r="E65" s="193">
        <v>151046.18</v>
      </c>
    </row>
    <row r="66" spans="1:5" s="40" customFormat="1" ht="33.75">
      <c r="A66" s="168">
        <v>13</v>
      </c>
      <c r="B66" s="168" t="s">
        <v>788</v>
      </c>
      <c r="C66" s="168" t="s">
        <v>272</v>
      </c>
      <c r="D66" s="168" t="s">
        <v>367</v>
      </c>
      <c r="E66" s="193">
        <v>86806.03</v>
      </c>
    </row>
    <row r="67" spans="1:5" s="40" customFormat="1" ht="42" customHeight="1">
      <c r="A67" s="168">
        <v>14</v>
      </c>
      <c r="B67" s="168" t="s">
        <v>783</v>
      </c>
      <c r="C67" s="168" t="s">
        <v>786</v>
      </c>
      <c r="D67" s="168" t="s">
        <v>367</v>
      </c>
      <c r="E67" s="193">
        <v>31701.6</v>
      </c>
    </row>
    <row r="68" spans="1:5" s="40" customFormat="1" ht="35.25" customHeight="1">
      <c r="A68" s="168">
        <v>15</v>
      </c>
      <c r="B68" s="168" t="s">
        <v>784</v>
      </c>
      <c r="C68" s="168" t="s">
        <v>786</v>
      </c>
      <c r="D68" s="168" t="s">
        <v>367</v>
      </c>
      <c r="E68" s="193">
        <v>27906.45</v>
      </c>
    </row>
    <row r="69" spans="1:5" s="40" customFormat="1" ht="38.25" customHeight="1">
      <c r="A69" s="168">
        <v>16</v>
      </c>
      <c r="B69" s="168" t="s">
        <v>885</v>
      </c>
      <c r="C69" s="168" t="s">
        <v>786</v>
      </c>
      <c r="D69" s="168" t="s">
        <v>367</v>
      </c>
      <c r="E69" s="193">
        <v>134480.45</v>
      </c>
    </row>
    <row r="70" spans="1:5" s="200" customFormat="1" ht="12.75">
      <c r="A70" s="391" t="s">
        <v>446</v>
      </c>
      <c r="B70" s="397"/>
      <c r="C70" s="398"/>
      <c r="D70" s="194"/>
      <c r="E70" s="196">
        <f>SUM(E54:E69)</f>
        <v>2010075.53</v>
      </c>
    </row>
    <row r="71" spans="1:5" s="152" customFormat="1" ht="11.25">
      <c r="A71" s="310" t="s">
        <v>277</v>
      </c>
      <c r="B71" s="390"/>
      <c r="C71" s="390"/>
      <c r="D71" s="390"/>
      <c r="E71" s="390"/>
    </row>
    <row r="72" spans="1:5" s="152" customFormat="1" ht="33" customHeight="1">
      <c r="A72" s="173" t="s">
        <v>365</v>
      </c>
      <c r="B72" s="389" t="s">
        <v>278</v>
      </c>
      <c r="C72" s="389"/>
      <c r="D72" s="173" t="s">
        <v>367</v>
      </c>
      <c r="E72" s="203"/>
    </row>
    <row r="73" spans="1:5" s="150" customFormat="1" ht="45">
      <c r="A73" s="168">
        <v>1</v>
      </c>
      <c r="B73" s="181" t="s">
        <v>240</v>
      </c>
      <c r="C73" s="181" t="s">
        <v>457</v>
      </c>
      <c r="D73" s="168" t="s">
        <v>367</v>
      </c>
      <c r="E73" s="193">
        <v>21292</v>
      </c>
    </row>
    <row r="74" spans="1:5" s="152" customFormat="1" ht="45" customHeight="1">
      <c r="A74" s="173" t="s">
        <v>376</v>
      </c>
      <c r="B74" s="389" t="s">
        <v>241</v>
      </c>
      <c r="C74" s="390"/>
      <c r="D74" s="173" t="s">
        <v>367</v>
      </c>
      <c r="E74" s="203"/>
    </row>
    <row r="75" spans="1:5" s="150" customFormat="1" ht="67.5">
      <c r="A75" s="168">
        <v>1</v>
      </c>
      <c r="B75" s="168" t="s">
        <v>458</v>
      </c>
      <c r="C75" s="168" t="s">
        <v>715</v>
      </c>
      <c r="D75" s="168" t="s">
        <v>367</v>
      </c>
      <c r="E75" s="193">
        <v>8000</v>
      </c>
    </row>
    <row r="76" spans="1:5" s="150" customFormat="1" ht="67.5">
      <c r="A76" s="168">
        <v>2</v>
      </c>
      <c r="B76" s="168" t="s">
        <v>241</v>
      </c>
      <c r="C76" s="168" t="s">
        <v>459</v>
      </c>
      <c r="D76" s="168" t="s">
        <v>367</v>
      </c>
      <c r="E76" s="193">
        <v>72864</v>
      </c>
    </row>
    <row r="77" spans="1:5" s="197" customFormat="1" ht="11.25">
      <c r="A77" s="391" t="s">
        <v>446</v>
      </c>
      <c r="B77" s="392"/>
      <c r="C77" s="393"/>
      <c r="D77" s="194"/>
      <c r="E77" s="196">
        <f>SUM(E75:E76)</f>
        <v>80864</v>
      </c>
    </row>
    <row r="78" spans="1:5" s="152" customFormat="1" ht="21.75" customHeight="1">
      <c r="A78" s="173" t="s">
        <v>387</v>
      </c>
      <c r="B78" s="389" t="s">
        <v>812</v>
      </c>
      <c r="C78" s="390"/>
      <c r="D78" s="173" t="s">
        <v>367</v>
      </c>
      <c r="E78" s="203"/>
    </row>
    <row r="79" spans="1:5" s="152" customFormat="1" ht="33.75">
      <c r="A79" s="168">
        <v>1</v>
      </c>
      <c r="B79" s="168" t="s">
        <v>812</v>
      </c>
      <c r="C79" s="181" t="s">
        <v>457</v>
      </c>
      <c r="D79" s="168" t="s">
        <v>367</v>
      </c>
      <c r="E79" s="193">
        <v>9440</v>
      </c>
    </row>
    <row r="80" spans="1:5" s="152" customFormat="1" ht="34.5" customHeight="1">
      <c r="A80" s="173" t="s">
        <v>693</v>
      </c>
      <c r="B80" s="389" t="s">
        <v>813</v>
      </c>
      <c r="C80" s="390"/>
      <c r="D80" s="173" t="s">
        <v>367</v>
      </c>
      <c r="E80" s="203"/>
    </row>
    <row r="81" spans="1:5" s="152" customFormat="1" ht="33.75">
      <c r="A81" s="168">
        <v>1</v>
      </c>
      <c r="B81" s="168" t="s">
        <v>813</v>
      </c>
      <c r="C81" s="181" t="s">
        <v>460</v>
      </c>
      <c r="D81" s="168" t="s">
        <v>367</v>
      </c>
      <c r="E81" s="193">
        <v>14584</v>
      </c>
    </row>
    <row r="82" spans="1:5" s="104" customFormat="1" ht="11.25">
      <c r="A82" s="310" t="s">
        <v>279</v>
      </c>
      <c r="B82" s="390"/>
      <c r="C82" s="390"/>
      <c r="D82" s="390"/>
      <c r="E82" s="390"/>
    </row>
    <row r="83" spans="1:5" s="104" customFormat="1" ht="22.5">
      <c r="A83" s="173" t="s">
        <v>365</v>
      </c>
      <c r="B83" s="389" t="s">
        <v>390</v>
      </c>
      <c r="C83" s="389"/>
      <c r="D83" s="173" t="s">
        <v>394</v>
      </c>
      <c r="E83" s="203"/>
    </row>
    <row r="84" spans="1:5" s="104" customFormat="1" ht="22.5">
      <c r="A84" s="181">
        <v>1</v>
      </c>
      <c r="B84" s="181" t="s">
        <v>395</v>
      </c>
      <c r="C84" s="181" t="s">
        <v>203</v>
      </c>
      <c r="D84" s="168" t="s">
        <v>394</v>
      </c>
      <c r="E84" s="207">
        <v>7712</v>
      </c>
    </row>
    <row r="85" spans="1:5" s="104" customFormat="1" ht="22.5">
      <c r="A85" s="181">
        <v>2</v>
      </c>
      <c r="B85" s="181" t="s">
        <v>202</v>
      </c>
      <c r="C85" s="181" t="s">
        <v>204</v>
      </c>
      <c r="D85" s="168" t="s">
        <v>394</v>
      </c>
      <c r="E85" s="207">
        <v>7300</v>
      </c>
    </row>
    <row r="86" spans="1:5" s="104" customFormat="1" ht="22.5">
      <c r="A86" s="181">
        <v>3</v>
      </c>
      <c r="B86" s="181" t="s">
        <v>205</v>
      </c>
      <c r="C86" s="181" t="s">
        <v>759</v>
      </c>
      <c r="D86" s="168" t="s">
        <v>394</v>
      </c>
      <c r="E86" s="207">
        <v>6000</v>
      </c>
    </row>
    <row r="87" spans="1:5" s="104" customFormat="1" ht="22.5">
      <c r="A87" s="181">
        <v>4</v>
      </c>
      <c r="B87" s="181" t="s">
        <v>396</v>
      </c>
      <c r="C87" s="181" t="s">
        <v>760</v>
      </c>
      <c r="D87" s="168" t="s">
        <v>394</v>
      </c>
      <c r="E87" s="207">
        <v>3000</v>
      </c>
    </row>
    <row r="88" spans="1:5" s="104" customFormat="1" ht="22.5">
      <c r="A88" s="181">
        <v>5</v>
      </c>
      <c r="B88" s="181" t="s">
        <v>397</v>
      </c>
      <c r="C88" s="181" t="s">
        <v>296</v>
      </c>
      <c r="D88" s="168" t="s">
        <v>394</v>
      </c>
      <c r="E88" s="207">
        <v>9300</v>
      </c>
    </row>
    <row r="89" spans="1:5" s="104" customFormat="1" ht="22.5">
      <c r="A89" s="181">
        <v>6</v>
      </c>
      <c r="B89" s="181" t="s">
        <v>188</v>
      </c>
      <c r="C89" s="181" t="s">
        <v>297</v>
      </c>
      <c r="D89" s="168" t="s">
        <v>394</v>
      </c>
      <c r="E89" s="207">
        <v>5000</v>
      </c>
    </row>
    <row r="90" spans="1:5" s="104" customFormat="1" ht="22.5">
      <c r="A90" s="181">
        <v>7</v>
      </c>
      <c r="B90" s="181" t="s">
        <v>398</v>
      </c>
      <c r="C90" s="181" t="s">
        <v>298</v>
      </c>
      <c r="D90" s="168" t="s">
        <v>394</v>
      </c>
      <c r="E90" s="207">
        <v>5000</v>
      </c>
    </row>
    <row r="91" spans="1:5" s="104" customFormat="1" ht="22.5">
      <c r="A91" s="181">
        <v>8</v>
      </c>
      <c r="B91" s="181" t="s">
        <v>916</v>
      </c>
      <c r="C91" s="181" t="s">
        <v>299</v>
      </c>
      <c r="D91" s="168" t="s">
        <v>394</v>
      </c>
      <c r="E91" s="207">
        <v>8000</v>
      </c>
    </row>
    <row r="92" spans="1:5" s="104" customFormat="1" ht="22.5">
      <c r="A92" s="181">
        <v>9</v>
      </c>
      <c r="B92" s="181" t="s">
        <v>399</v>
      </c>
      <c r="C92" s="181" t="s">
        <v>300</v>
      </c>
      <c r="D92" s="168" t="s">
        <v>394</v>
      </c>
      <c r="E92" s="207">
        <v>6000</v>
      </c>
    </row>
    <row r="93" spans="1:5" s="104" customFormat="1" ht="22.5">
      <c r="A93" s="181">
        <v>10</v>
      </c>
      <c r="B93" s="181" t="s">
        <v>301</v>
      </c>
      <c r="C93" s="181" t="s">
        <v>302</v>
      </c>
      <c r="D93" s="168" t="s">
        <v>394</v>
      </c>
      <c r="E93" s="207">
        <v>24000</v>
      </c>
    </row>
    <row r="94" spans="1:5" s="104" customFormat="1" ht="22.5">
      <c r="A94" s="181">
        <v>11</v>
      </c>
      <c r="B94" s="181" t="s">
        <v>400</v>
      </c>
      <c r="C94" s="181" t="s">
        <v>303</v>
      </c>
      <c r="D94" s="168" t="s">
        <v>394</v>
      </c>
      <c r="E94" s="207">
        <v>7500</v>
      </c>
    </row>
    <row r="95" spans="1:5" s="104" customFormat="1" ht="22.5">
      <c r="A95" s="181">
        <v>12</v>
      </c>
      <c r="B95" s="181" t="s">
        <v>304</v>
      </c>
      <c r="C95" s="181" t="s">
        <v>242</v>
      </c>
      <c r="D95" s="168" t="s">
        <v>394</v>
      </c>
      <c r="E95" s="207">
        <v>9000</v>
      </c>
    </row>
    <row r="96" spans="1:5" s="104" customFormat="1" ht="22.5">
      <c r="A96" s="181">
        <v>13</v>
      </c>
      <c r="B96" s="181" t="s">
        <v>189</v>
      </c>
      <c r="C96" s="181" t="s">
        <v>305</v>
      </c>
      <c r="D96" s="168" t="s">
        <v>394</v>
      </c>
      <c r="E96" s="207">
        <v>5700</v>
      </c>
    </row>
    <row r="97" spans="1:5" s="200" customFormat="1" ht="11.25" customHeight="1">
      <c r="A97" s="391" t="s">
        <v>446</v>
      </c>
      <c r="B97" s="392"/>
      <c r="C97" s="393"/>
      <c r="D97" s="211"/>
      <c r="E97" s="208">
        <f>SUM(E84:E96)</f>
        <v>103512</v>
      </c>
    </row>
    <row r="98" spans="1:5" s="104" customFormat="1" ht="22.5">
      <c r="A98" s="173" t="s">
        <v>376</v>
      </c>
      <c r="B98" s="389" t="s">
        <v>389</v>
      </c>
      <c r="C98" s="389"/>
      <c r="D98" s="173" t="s">
        <v>394</v>
      </c>
      <c r="E98" s="203"/>
    </row>
    <row r="99" spans="1:5" s="104" customFormat="1" ht="22.5">
      <c r="A99" s="181">
        <v>1</v>
      </c>
      <c r="B99" s="181" t="s">
        <v>401</v>
      </c>
      <c r="C99" s="181" t="s">
        <v>403</v>
      </c>
      <c r="D99" s="168" t="s">
        <v>394</v>
      </c>
      <c r="E99" s="193">
        <v>22400</v>
      </c>
    </row>
    <row r="100" spans="1:5" s="104" customFormat="1" ht="22.5">
      <c r="A100" s="181">
        <v>2</v>
      </c>
      <c r="B100" s="181" t="s">
        <v>402</v>
      </c>
      <c r="C100" s="181" t="s">
        <v>296</v>
      </c>
      <c r="D100" s="168" t="s">
        <v>394</v>
      </c>
      <c r="E100" s="193">
        <v>121401</v>
      </c>
    </row>
    <row r="101" spans="1:5" s="104" customFormat="1" ht="22.5">
      <c r="A101" s="181">
        <v>3</v>
      </c>
      <c r="B101" s="181" t="s">
        <v>635</v>
      </c>
      <c r="C101" s="181" t="s">
        <v>404</v>
      </c>
      <c r="D101" s="168" t="s">
        <v>394</v>
      </c>
      <c r="E101" s="193">
        <v>15000</v>
      </c>
    </row>
    <row r="102" spans="1:5" s="200" customFormat="1" ht="11.25" customHeight="1">
      <c r="A102" s="391" t="s">
        <v>446</v>
      </c>
      <c r="B102" s="392"/>
      <c r="C102" s="393"/>
      <c r="D102" s="211"/>
      <c r="E102" s="208">
        <f>SUM(E99:E101)</f>
        <v>158801</v>
      </c>
    </row>
    <row r="103" spans="1:5" s="104" customFormat="1" ht="22.5">
      <c r="A103" s="173" t="s">
        <v>387</v>
      </c>
      <c r="B103" s="389" t="s">
        <v>388</v>
      </c>
      <c r="C103" s="390"/>
      <c r="D103" s="173" t="s">
        <v>394</v>
      </c>
      <c r="E103" s="203"/>
    </row>
    <row r="104" spans="1:5" s="104" customFormat="1" ht="22.5">
      <c r="A104" s="212">
        <v>1</v>
      </c>
      <c r="B104" s="212" t="s">
        <v>133</v>
      </c>
      <c r="C104" s="181" t="s">
        <v>405</v>
      </c>
      <c r="D104" s="168" t="s">
        <v>394</v>
      </c>
      <c r="E104" s="207">
        <v>115000</v>
      </c>
    </row>
    <row r="105" spans="1:5" s="104" customFormat="1" ht="22.5">
      <c r="A105" s="212">
        <v>2</v>
      </c>
      <c r="B105" s="212" t="s">
        <v>134</v>
      </c>
      <c r="C105" s="181" t="s">
        <v>406</v>
      </c>
      <c r="D105" s="168" t="s">
        <v>394</v>
      </c>
      <c r="E105" s="207">
        <v>7000</v>
      </c>
    </row>
    <row r="106" spans="1:5" s="104" customFormat="1" ht="22.5">
      <c r="A106" s="212">
        <v>3</v>
      </c>
      <c r="B106" s="212" t="s">
        <v>135</v>
      </c>
      <c r="C106" s="181" t="s">
        <v>410</v>
      </c>
      <c r="D106" s="168" t="s">
        <v>394</v>
      </c>
      <c r="E106" s="207">
        <v>5750</v>
      </c>
    </row>
    <row r="107" spans="1:5" s="104" customFormat="1" ht="22.5">
      <c r="A107" s="212">
        <v>4</v>
      </c>
      <c r="B107" s="212" t="s">
        <v>461</v>
      </c>
      <c r="C107" s="181" t="s">
        <v>408</v>
      </c>
      <c r="D107" s="168" t="s">
        <v>394</v>
      </c>
      <c r="E107" s="207">
        <v>6000</v>
      </c>
    </row>
    <row r="108" spans="1:5" s="104" customFormat="1" ht="22.5">
      <c r="A108" s="212">
        <v>5</v>
      </c>
      <c r="B108" s="212" t="s">
        <v>136</v>
      </c>
      <c r="C108" s="181" t="s">
        <v>409</v>
      </c>
      <c r="D108" s="168" t="s">
        <v>394</v>
      </c>
      <c r="E108" s="207">
        <v>3000</v>
      </c>
    </row>
    <row r="109" spans="1:5" s="104" customFormat="1" ht="22.5">
      <c r="A109" s="212">
        <v>6</v>
      </c>
      <c r="B109" s="212" t="s">
        <v>137</v>
      </c>
      <c r="C109" s="181" t="s">
        <v>411</v>
      </c>
      <c r="D109" s="168" t="s">
        <v>394</v>
      </c>
      <c r="E109" s="207">
        <v>20000</v>
      </c>
    </row>
    <row r="110" spans="1:5" s="104" customFormat="1" ht="33.75">
      <c r="A110" s="212">
        <v>7</v>
      </c>
      <c r="B110" s="212" t="s">
        <v>138</v>
      </c>
      <c r="C110" s="181" t="s">
        <v>412</v>
      </c>
      <c r="D110" s="168" t="s">
        <v>394</v>
      </c>
      <c r="E110" s="207">
        <v>15900</v>
      </c>
    </row>
    <row r="111" spans="1:5" s="104" customFormat="1" ht="22.5">
      <c r="A111" s="212">
        <v>8</v>
      </c>
      <c r="B111" s="212" t="s">
        <v>139</v>
      </c>
      <c r="C111" s="181" t="s">
        <v>413</v>
      </c>
      <c r="D111" s="168" t="s">
        <v>394</v>
      </c>
      <c r="E111" s="207">
        <v>38500</v>
      </c>
    </row>
    <row r="112" spans="1:5" s="104" customFormat="1" ht="22.5">
      <c r="A112" s="212">
        <v>9</v>
      </c>
      <c r="B112" s="212" t="s">
        <v>140</v>
      </c>
      <c r="C112" s="181" t="s">
        <v>414</v>
      </c>
      <c r="D112" s="168" t="s">
        <v>394</v>
      </c>
      <c r="E112" s="207">
        <v>22650</v>
      </c>
    </row>
    <row r="113" spans="1:5" s="104" customFormat="1" ht="22.5">
      <c r="A113" s="212">
        <v>10</v>
      </c>
      <c r="B113" s="212" t="s">
        <v>141</v>
      </c>
      <c r="C113" s="181" t="s">
        <v>415</v>
      </c>
      <c r="D113" s="168" t="s">
        <v>394</v>
      </c>
      <c r="E113" s="207">
        <v>30000</v>
      </c>
    </row>
    <row r="114" spans="1:5" s="104" customFormat="1" ht="22.5">
      <c r="A114" s="212">
        <v>11</v>
      </c>
      <c r="B114" s="212" t="s">
        <v>142</v>
      </c>
      <c r="C114" s="181" t="s">
        <v>300</v>
      </c>
      <c r="D114" s="168" t="s">
        <v>394</v>
      </c>
      <c r="E114" s="207">
        <v>2500</v>
      </c>
    </row>
    <row r="115" spans="1:5" s="104" customFormat="1" ht="22.5">
      <c r="A115" s="212">
        <v>12</v>
      </c>
      <c r="B115" s="212" t="s">
        <v>143</v>
      </c>
      <c r="C115" s="181" t="s">
        <v>416</v>
      </c>
      <c r="D115" s="168" t="s">
        <v>394</v>
      </c>
      <c r="E115" s="207">
        <v>2000</v>
      </c>
    </row>
    <row r="116" spans="1:5" s="104" customFormat="1" ht="22.5">
      <c r="A116" s="212">
        <v>13</v>
      </c>
      <c r="B116" s="212" t="s">
        <v>144</v>
      </c>
      <c r="C116" s="181" t="s">
        <v>1022</v>
      </c>
      <c r="D116" s="168" t="s">
        <v>394</v>
      </c>
      <c r="E116" s="207">
        <v>7000</v>
      </c>
    </row>
    <row r="117" spans="1:5" s="104" customFormat="1" ht="22.5">
      <c r="A117" s="212">
        <v>14</v>
      </c>
      <c r="B117" s="212" t="s">
        <v>145</v>
      </c>
      <c r="C117" s="181" t="s">
        <v>1023</v>
      </c>
      <c r="D117" s="168" t="s">
        <v>394</v>
      </c>
      <c r="E117" s="207">
        <v>5000</v>
      </c>
    </row>
    <row r="118" spans="1:5" s="104" customFormat="1" ht="22.5">
      <c r="A118" s="212">
        <v>15</v>
      </c>
      <c r="B118" s="212" t="s">
        <v>605</v>
      </c>
      <c r="C118" s="181" t="s">
        <v>1024</v>
      </c>
      <c r="D118" s="168" t="s">
        <v>394</v>
      </c>
      <c r="E118" s="207">
        <v>7000</v>
      </c>
    </row>
    <row r="119" spans="1:5" s="104" customFormat="1" ht="22.5">
      <c r="A119" s="212">
        <v>16</v>
      </c>
      <c r="B119" s="212" t="s">
        <v>146</v>
      </c>
      <c r="C119" s="181" t="s">
        <v>1025</v>
      </c>
      <c r="D119" s="168" t="s">
        <v>394</v>
      </c>
      <c r="E119" s="207">
        <v>30000</v>
      </c>
    </row>
    <row r="120" spans="1:5" s="104" customFormat="1" ht="22.5">
      <c r="A120" s="212">
        <v>17</v>
      </c>
      <c r="B120" s="212" t="s">
        <v>462</v>
      </c>
      <c r="C120" s="181" t="s">
        <v>203</v>
      </c>
      <c r="D120" s="168" t="s">
        <v>394</v>
      </c>
      <c r="E120" s="207">
        <v>10000</v>
      </c>
    </row>
    <row r="121" spans="1:5" s="104" customFormat="1" ht="22.5">
      <c r="A121" s="212">
        <v>18</v>
      </c>
      <c r="B121" s="212" t="s">
        <v>147</v>
      </c>
      <c r="C121" s="181" t="s">
        <v>1027</v>
      </c>
      <c r="D121" s="168" t="s">
        <v>394</v>
      </c>
      <c r="E121" s="207">
        <v>10000</v>
      </c>
    </row>
    <row r="122" spans="1:5" s="104" customFormat="1" ht="22.5">
      <c r="A122" s="212">
        <v>19</v>
      </c>
      <c r="B122" s="212" t="s">
        <v>148</v>
      </c>
      <c r="C122" s="181" t="s">
        <v>1028</v>
      </c>
      <c r="D122" s="168" t="s">
        <v>394</v>
      </c>
      <c r="E122" s="207">
        <v>8000</v>
      </c>
    </row>
    <row r="123" spans="1:5" s="104" customFormat="1" ht="22.5">
      <c r="A123" s="212">
        <v>20</v>
      </c>
      <c r="B123" s="212" t="s">
        <v>149</v>
      </c>
      <c r="C123" s="181" t="s">
        <v>302</v>
      </c>
      <c r="D123" s="168" t="s">
        <v>394</v>
      </c>
      <c r="E123" s="207">
        <v>20000</v>
      </c>
    </row>
    <row r="124" spans="1:5" s="104" customFormat="1" ht="22.5">
      <c r="A124" s="212">
        <v>21</v>
      </c>
      <c r="B124" s="212" t="s">
        <v>150</v>
      </c>
      <c r="C124" s="181" t="s">
        <v>1029</v>
      </c>
      <c r="D124" s="168" t="s">
        <v>394</v>
      </c>
      <c r="E124" s="207">
        <v>14809.1</v>
      </c>
    </row>
    <row r="125" spans="1:5" s="104" customFormat="1" ht="22.5">
      <c r="A125" s="212">
        <v>22</v>
      </c>
      <c r="B125" s="212" t="s">
        <v>151</v>
      </c>
      <c r="C125" s="181" t="s">
        <v>1030</v>
      </c>
      <c r="D125" s="168" t="s">
        <v>394</v>
      </c>
      <c r="E125" s="207">
        <v>5000</v>
      </c>
    </row>
    <row r="126" spans="1:5" s="104" customFormat="1" ht="22.5">
      <c r="A126" s="212">
        <v>23</v>
      </c>
      <c r="B126" s="212" t="s">
        <v>152</v>
      </c>
      <c r="C126" s="181" t="s">
        <v>406</v>
      </c>
      <c r="D126" s="168" t="s">
        <v>394</v>
      </c>
      <c r="E126" s="207">
        <v>10000</v>
      </c>
    </row>
    <row r="127" spans="1:5" s="104" customFormat="1" ht="22.5">
      <c r="A127" s="212">
        <v>24</v>
      </c>
      <c r="B127" s="212" t="s">
        <v>153</v>
      </c>
      <c r="C127" s="181" t="s">
        <v>1031</v>
      </c>
      <c r="D127" s="168" t="s">
        <v>394</v>
      </c>
      <c r="E127" s="207">
        <v>10000</v>
      </c>
    </row>
    <row r="128" spans="1:5" s="104" customFormat="1" ht="22.5">
      <c r="A128" s="212">
        <v>25</v>
      </c>
      <c r="B128" s="212" t="s">
        <v>154</v>
      </c>
      <c r="C128" s="181" t="s">
        <v>1032</v>
      </c>
      <c r="D128" s="168" t="s">
        <v>394</v>
      </c>
      <c r="E128" s="207">
        <v>50000</v>
      </c>
    </row>
    <row r="129" spans="1:5" s="104" customFormat="1" ht="22.5">
      <c r="A129" s="212">
        <v>26</v>
      </c>
      <c r="B129" s="212" t="s">
        <v>155</v>
      </c>
      <c r="C129" s="181" t="s">
        <v>472</v>
      </c>
      <c r="D129" s="168" t="s">
        <v>394</v>
      </c>
      <c r="E129" s="207">
        <v>9000</v>
      </c>
    </row>
    <row r="130" spans="1:5" s="104" customFormat="1" ht="22.5">
      <c r="A130" s="212">
        <v>27</v>
      </c>
      <c r="B130" s="212" t="s">
        <v>599</v>
      </c>
      <c r="C130" s="181" t="s">
        <v>473</v>
      </c>
      <c r="D130" s="168" t="s">
        <v>394</v>
      </c>
      <c r="E130" s="207">
        <v>2418.85</v>
      </c>
    </row>
    <row r="131" spans="1:5" s="104" customFormat="1" ht="22.5">
      <c r="A131" s="212">
        <v>28</v>
      </c>
      <c r="B131" s="212" t="s">
        <v>600</v>
      </c>
      <c r="C131" s="181" t="s">
        <v>474</v>
      </c>
      <c r="D131" s="168" t="s">
        <v>394</v>
      </c>
      <c r="E131" s="207">
        <v>3000</v>
      </c>
    </row>
    <row r="132" spans="1:5" s="104" customFormat="1" ht="22.5">
      <c r="A132" s="212">
        <v>29</v>
      </c>
      <c r="B132" s="212" t="s">
        <v>601</v>
      </c>
      <c r="C132" s="181" t="s">
        <v>475</v>
      </c>
      <c r="D132" s="168" t="s">
        <v>394</v>
      </c>
      <c r="E132" s="207">
        <v>12300</v>
      </c>
    </row>
    <row r="133" spans="1:5" s="104" customFormat="1" ht="22.5">
      <c r="A133" s="212">
        <v>30</v>
      </c>
      <c r="B133" s="212" t="s">
        <v>636</v>
      </c>
      <c r="C133" s="181" t="s">
        <v>476</v>
      </c>
      <c r="D133" s="168" t="s">
        <v>394</v>
      </c>
      <c r="E133" s="207">
        <v>25000</v>
      </c>
    </row>
    <row r="134" spans="1:5" s="104" customFormat="1" ht="22.5">
      <c r="A134" s="212">
        <v>31</v>
      </c>
      <c r="B134" s="212" t="s">
        <v>602</v>
      </c>
      <c r="C134" s="181" t="s">
        <v>477</v>
      </c>
      <c r="D134" s="168" t="s">
        <v>394</v>
      </c>
      <c r="E134" s="207">
        <v>14600</v>
      </c>
    </row>
    <row r="135" spans="1:5" s="104" customFormat="1" ht="33.75">
      <c r="A135" s="212">
        <v>32</v>
      </c>
      <c r="B135" s="212" t="s">
        <v>638</v>
      </c>
      <c r="C135" s="181" t="s">
        <v>478</v>
      </c>
      <c r="D135" s="168" t="s">
        <v>394</v>
      </c>
      <c r="E135" s="207">
        <v>7500</v>
      </c>
    </row>
    <row r="136" spans="1:5" s="104" customFormat="1" ht="22.5">
      <c r="A136" s="212">
        <v>33</v>
      </c>
      <c r="B136" s="212" t="s">
        <v>637</v>
      </c>
      <c r="C136" s="181" t="s">
        <v>479</v>
      </c>
      <c r="D136" s="168" t="s">
        <v>394</v>
      </c>
      <c r="E136" s="207">
        <v>10000</v>
      </c>
    </row>
    <row r="137" spans="1:5" s="104" customFormat="1" ht="22.5">
      <c r="A137" s="212">
        <v>34</v>
      </c>
      <c r="B137" s="212" t="s">
        <v>639</v>
      </c>
      <c r="C137" s="181" t="s">
        <v>480</v>
      </c>
      <c r="D137" s="168" t="s">
        <v>394</v>
      </c>
      <c r="E137" s="207">
        <v>29550</v>
      </c>
    </row>
    <row r="138" spans="1:5" s="104" customFormat="1" ht="22.5">
      <c r="A138" s="212">
        <v>35</v>
      </c>
      <c r="B138" s="212" t="s">
        <v>634</v>
      </c>
      <c r="C138" s="181" t="s">
        <v>405</v>
      </c>
      <c r="D138" s="168" t="s">
        <v>394</v>
      </c>
      <c r="E138" s="207">
        <v>789.3</v>
      </c>
    </row>
    <row r="139" spans="1:5" s="104" customFormat="1" ht="22.5">
      <c r="A139" s="212">
        <v>36</v>
      </c>
      <c r="B139" s="212" t="s">
        <v>183</v>
      </c>
      <c r="C139" s="181" t="s">
        <v>752</v>
      </c>
      <c r="D139" s="168" t="s">
        <v>394</v>
      </c>
      <c r="E139" s="207">
        <v>2474.32</v>
      </c>
    </row>
    <row r="140" spans="1:5" s="104" customFormat="1" ht="22.5">
      <c r="A140" s="212">
        <v>37</v>
      </c>
      <c r="B140" s="212" t="s">
        <v>184</v>
      </c>
      <c r="C140" s="181" t="s">
        <v>753</v>
      </c>
      <c r="D140" s="168" t="s">
        <v>394</v>
      </c>
      <c r="E140" s="207">
        <v>2400</v>
      </c>
    </row>
    <row r="141" spans="1:5" s="104" customFormat="1" ht="22.5">
      <c r="A141" s="212">
        <v>38</v>
      </c>
      <c r="B141" s="212" t="s">
        <v>190</v>
      </c>
      <c r="C141" s="181" t="s">
        <v>989</v>
      </c>
      <c r="D141" s="168" t="s">
        <v>394</v>
      </c>
      <c r="E141" s="207">
        <v>2800</v>
      </c>
    </row>
    <row r="142" spans="1:5" s="104" customFormat="1" ht="22.5">
      <c r="A142" s="212">
        <v>39</v>
      </c>
      <c r="B142" s="212" t="s">
        <v>915</v>
      </c>
      <c r="C142" s="181" t="s">
        <v>481</v>
      </c>
      <c r="D142" s="168" t="s">
        <v>394</v>
      </c>
      <c r="E142" s="207">
        <v>4000</v>
      </c>
    </row>
    <row r="143" spans="1:5" s="104" customFormat="1" ht="22.5">
      <c r="A143" s="212">
        <v>40</v>
      </c>
      <c r="B143" s="212" t="s">
        <v>603</v>
      </c>
      <c r="C143" s="181" t="s">
        <v>482</v>
      </c>
      <c r="D143" s="168" t="s">
        <v>394</v>
      </c>
      <c r="E143" s="207">
        <v>7000</v>
      </c>
    </row>
    <row r="144" spans="1:5" s="104" customFormat="1" ht="22.5">
      <c r="A144" s="212">
        <v>41</v>
      </c>
      <c r="B144" s="212" t="s">
        <v>185</v>
      </c>
      <c r="C144" s="181" t="s">
        <v>405</v>
      </c>
      <c r="D144" s="168" t="s">
        <v>394</v>
      </c>
      <c r="E144" s="207">
        <v>3455</v>
      </c>
    </row>
    <row r="145" spans="1:5" s="104" customFormat="1" ht="22.5">
      <c r="A145" s="212">
        <v>42</v>
      </c>
      <c r="B145" s="212" t="s">
        <v>186</v>
      </c>
      <c r="C145" s="181" t="s">
        <v>408</v>
      </c>
      <c r="D145" s="168" t="s">
        <v>394</v>
      </c>
      <c r="E145" s="207">
        <v>4000</v>
      </c>
    </row>
    <row r="146" spans="1:5" s="104" customFormat="1" ht="22.5">
      <c r="A146" s="212">
        <v>43</v>
      </c>
      <c r="B146" s="212" t="s">
        <v>919</v>
      </c>
      <c r="C146" s="181" t="s">
        <v>475</v>
      </c>
      <c r="D146" s="168" t="s">
        <v>394</v>
      </c>
      <c r="E146" s="207">
        <v>4000</v>
      </c>
    </row>
    <row r="147" spans="1:5" s="104" customFormat="1" ht="22.5">
      <c r="A147" s="212">
        <v>44</v>
      </c>
      <c r="B147" s="212" t="s">
        <v>917</v>
      </c>
      <c r="C147" s="181" t="s">
        <v>483</v>
      </c>
      <c r="D147" s="168" t="s">
        <v>394</v>
      </c>
      <c r="E147" s="207">
        <v>46200</v>
      </c>
    </row>
    <row r="148" spans="1:5" s="104" customFormat="1" ht="22.5">
      <c r="A148" s="212">
        <v>45</v>
      </c>
      <c r="B148" s="212" t="s">
        <v>918</v>
      </c>
      <c r="C148" s="181" t="s">
        <v>484</v>
      </c>
      <c r="D148" s="168" t="s">
        <v>394</v>
      </c>
      <c r="E148" s="207">
        <v>1500</v>
      </c>
    </row>
    <row r="149" spans="1:5" s="104" customFormat="1" ht="22.5">
      <c r="A149" s="212">
        <v>46</v>
      </c>
      <c r="B149" s="212" t="s">
        <v>604</v>
      </c>
      <c r="C149" s="181" t="s">
        <v>486</v>
      </c>
      <c r="D149" s="168" t="s">
        <v>394</v>
      </c>
      <c r="E149" s="207">
        <v>9976.5</v>
      </c>
    </row>
    <row r="150" spans="1:5" s="104" customFormat="1" ht="22.5">
      <c r="A150" s="212">
        <v>47</v>
      </c>
      <c r="B150" s="212" t="s">
        <v>193</v>
      </c>
      <c r="C150" s="181" t="s">
        <v>485</v>
      </c>
      <c r="D150" s="168" t="s">
        <v>394</v>
      </c>
      <c r="E150" s="207">
        <v>6280.12</v>
      </c>
    </row>
    <row r="151" spans="1:5" s="104" customFormat="1" ht="22.5">
      <c r="A151" s="212">
        <v>48</v>
      </c>
      <c r="B151" s="212" t="s">
        <v>464</v>
      </c>
      <c r="C151" s="212" t="s">
        <v>920</v>
      </c>
      <c r="D151" s="168" t="s">
        <v>394</v>
      </c>
      <c r="E151" s="207">
        <v>10000</v>
      </c>
    </row>
    <row r="152" spans="1:5" s="104" customFormat="1" ht="22.5">
      <c r="A152" s="212">
        <v>49</v>
      </c>
      <c r="B152" s="212" t="s">
        <v>465</v>
      </c>
      <c r="C152" s="181" t="s">
        <v>494</v>
      </c>
      <c r="D152" s="168" t="s">
        <v>394</v>
      </c>
      <c r="E152" s="207">
        <v>5000</v>
      </c>
    </row>
    <row r="153" spans="1:5" s="104" customFormat="1" ht="22.5">
      <c r="A153" s="212">
        <v>50</v>
      </c>
      <c r="B153" s="212" t="s">
        <v>197</v>
      </c>
      <c r="C153" s="181" t="s">
        <v>493</v>
      </c>
      <c r="D153" s="168" t="s">
        <v>394</v>
      </c>
      <c r="E153" s="207">
        <v>2000</v>
      </c>
    </row>
    <row r="154" spans="1:5" s="104" customFormat="1" ht="22.5">
      <c r="A154" s="212">
        <v>51</v>
      </c>
      <c r="B154" s="212" t="s">
        <v>466</v>
      </c>
      <c r="C154" s="181" t="s">
        <v>563</v>
      </c>
      <c r="D154" s="168" t="s">
        <v>394</v>
      </c>
      <c r="E154" s="207">
        <v>850</v>
      </c>
    </row>
    <row r="155" spans="1:5" s="104" customFormat="1" ht="22.5">
      <c r="A155" s="212">
        <v>52</v>
      </c>
      <c r="B155" s="212" t="s">
        <v>467</v>
      </c>
      <c r="C155" s="181" t="s">
        <v>487</v>
      </c>
      <c r="D155" s="168" t="s">
        <v>394</v>
      </c>
      <c r="E155" s="207">
        <v>3000</v>
      </c>
    </row>
    <row r="156" spans="1:5" s="104" customFormat="1" ht="22.5">
      <c r="A156" s="212">
        <v>53</v>
      </c>
      <c r="B156" s="212" t="s">
        <v>468</v>
      </c>
      <c r="C156" s="181" t="s">
        <v>296</v>
      </c>
      <c r="D156" s="168" t="s">
        <v>394</v>
      </c>
      <c r="E156" s="207">
        <v>8400</v>
      </c>
    </row>
    <row r="157" spans="1:5" s="104" customFormat="1" ht="22.5">
      <c r="A157" s="212">
        <v>54</v>
      </c>
      <c r="B157" s="212" t="s">
        <v>469</v>
      </c>
      <c r="C157" s="181" t="s">
        <v>490</v>
      </c>
      <c r="D157" s="168" t="s">
        <v>394</v>
      </c>
      <c r="E157" s="207">
        <v>5000</v>
      </c>
    </row>
    <row r="158" spans="1:5" s="104" customFormat="1" ht="22.5">
      <c r="A158" s="212">
        <v>55</v>
      </c>
      <c r="B158" s="212" t="s">
        <v>470</v>
      </c>
      <c r="C158" s="212" t="s">
        <v>921</v>
      </c>
      <c r="D158" s="168" t="s">
        <v>394</v>
      </c>
      <c r="E158" s="207">
        <v>800</v>
      </c>
    </row>
    <row r="159" spans="1:5" s="104" customFormat="1" ht="22.5">
      <c r="A159" s="212">
        <v>56</v>
      </c>
      <c r="B159" s="212" t="s">
        <v>471</v>
      </c>
      <c r="C159" s="212" t="s">
        <v>463</v>
      </c>
      <c r="D159" s="168" t="s">
        <v>394</v>
      </c>
      <c r="E159" s="207">
        <v>1660.6</v>
      </c>
    </row>
    <row r="160" spans="1:5" s="200" customFormat="1" ht="11.25" customHeight="1">
      <c r="A160" s="391" t="s">
        <v>446</v>
      </c>
      <c r="B160" s="392"/>
      <c r="C160" s="393"/>
      <c r="D160" s="211"/>
      <c r="E160" s="208">
        <f>SUM(E104:E159)</f>
        <v>700063.7899999999</v>
      </c>
    </row>
    <row r="161" spans="1:5" s="104" customFormat="1" ht="22.5">
      <c r="A161" s="173" t="s">
        <v>693</v>
      </c>
      <c r="B161" s="389" t="s">
        <v>391</v>
      </c>
      <c r="C161" s="389"/>
      <c r="D161" s="173" t="s">
        <v>394</v>
      </c>
      <c r="E161" s="203"/>
    </row>
    <row r="162" spans="1:5" s="104" customFormat="1" ht="22.5">
      <c r="A162" s="181">
        <v>1</v>
      </c>
      <c r="B162" s="181" t="s">
        <v>495</v>
      </c>
      <c r="C162" s="181" t="s">
        <v>296</v>
      </c>
      <c r="D162" s="168" t="s">
        <v>394</v>
      </c>
      <c r="E162" s="193">
        <v>19000</v>
      </c>
    </row>
    <row r="163" spans="1:5" s="104" customFormat="1" ht="22.5">
      <c r="A163" s="181">
        <v>2</v>
      </c>
      <c r="B163" s="181" t="s">
        <v>496</v>
      </c>
      <c r="C163" s="181" t="s">
        <v>497</v>
      </c>
      <c r="D163" s="168" t="s">
        <v>394</v>
      </c>
      <c r="E163" s="193">
        <v>1342</v>
      </c>
    </row>
    <row r="164" spans="1:5" s="104" customFormat="1" ht="22.5">
      <c r="A164" s="181">
        <v>3</v>
      </c>
      <c r="B164" s="181" t="s">
        <v>566</v>
      </c>
      <c r="C164" s="181" t="s">
        <v>498</v>
      </c>
      <c r="D164" s="168" t="s">
        <v>394</v>
      </c>
      <c r="E164" s="193">
        <v>16500</v>
      </c>
    </row>
    <row r="165" spans="1:5" s="104" customFormat="1" ht="22.5">
      <c r="A165" s="181">
        <v>4</v>
      </c>
      <c r="B165" s="181" t="s">
        <v>567</v>
      </c>
      <c r="C165" s="181" t="s">
        <v>499</v>
      </c>
      <c r="D165" s="168" t="s">
        <v>394</v>
      </c>
      <c r="E165" s="193">
        <v>2000</v>
      </c>
    </row>
    <row r="166" spans="1:5" s="104" customFormat="1" ht="22.5">
      <c r="A166" s="181">
        <v>5</v>
      </c>
      <c r="B166" s="181" t="s">
        <v>500</v>
      </c>
      <c r="C166" s="181" t="s">
        <v>296</v>
      </c>
      <c r="D166" s="168" t="s">
        <v>394</v>
      </c>
      <c r="E166" s="193">
        <v>3000</v>
      </c>
    </row>
    <row r="167" spans="1:5" s="104" customFormat="1" ht="33.75">
      <c r="A167" s="181">
        <v>6</v>
      </c>
      <c r="B167" s="181" t="s">
        <v>568</v>
      </c>
      <c r="C167" s="181" t="s">
        <v>501</v>
      </c>
      <c r="D167" s="168" t="s">
        <v>394</v>
      </c>
      <c r="E167" s="193">
        <v>6000</v>
      </c>
    </row>
    <row r="168" spans="1:5" s="104" customFormat="1" ht="22.5">
      <c r="A168" s="181">
        <v>7</v>
      </c>
      <c r="B168" s="181" t="s">
        <v>502</v>
      </c>
      <c r="C168" s="181" t="s">
        <v>503</v>
      </c>
      <c r="D168" s="168" t="s">
        <v>394</v>
      </c>
      <c r="E168" s="193">
        <v>5000</v>
      </c>
    </row>
    <row r="169" spans="1:5" s="104" customFormat="1" ht="22.5">
      <c r="A169" s="181">
        <v>8</v>
      </c>
      <c r="B169" s="181" t="s">
        <v>569</v>
      </c>
      <c r="C169" s="181" t="s">
        <v>296</v>
      </c>
      <c r="D169" s="168" t="s">
        <v>394</v>
      </c>
      <c r="E169" s="193">
        <v>6830</v>
      </c>
    </row>
    <row r="170" spans="1:5" s="104" customFormat="1" ht="22.5">
      <c r="A170" s="181">
        <v>9</v>
      </c>
      <c r="B170" s="181" t="s">
        <v>570</v>
      </c>
      <c r="C170" s="181" t="s">
        <v>504</v>
      </c>
      <c r="D170" s="168" t="s">
        <v>394</v>
      </c>
      <c r="E170" s="193">
        <v>110000</v>
      </c>
    </row>
    <row r="171" spans="1:5" s="200" customFormat="1" ht="11.25" customHeight="1">
      <c r="A171" s="391" t="s">
        <v>446</v>
      </c>
      <c r="B171" s="392"/>
      <c r="C171" s="393"/>
      <c r="D171" s="211"/>
      <c r="E171" s="208">
        <f>SUM(E162:E170)</f>
        <v>169672</v>
      </c>
    </row>
    <row r="172" spans="1:5" s="104" customFormat="1" ht="22.5">
      <c r="A172" s="173" t="s">
        <v>695</v>
      </c>
      <c r="B172" s="389" t="s">
        <v>393</v>
      </c>
      <c r="C172" s="389"/>
      <c r="D172" s="173" t="s">
        <v>394</v>
      </c>
      <c r="E172" s="203"/>
    </row>
    <row r="173" spans="1:5" ht="22.5">
      <c r="A173" s="181">
        <v>1</v>
      </c>
      <c r="B173" s="181" t="s">
        <v>94</v>
      </c>
      <c r="C173" s="181" t="s">
        <v>505</v>
      </c>
      <c r="D173" s="168" t="s">
        <v>394</v>
      </c>
      <c r="E173" s="209">
        <v>7000</v>
      </c>
    </row>
    <row r="174" spans="1:5" ht="22.5">
      <c r="A174" s="181">
        <v>2</v>
      </c>
      <c r="B174" s="181" t="s">
        <v>573</v>
      </c>
      <c r="C174" s="181" t="s">
        <v>506</v>
      </c>
      <c r="D174" s="168" t="s">
        <v>394</v>
      </c>
      <c r="E174" s="209">
        <v>3000</v>
      </c>
    </row>
    <row r="175" spans="1:5" ht="22.5">
      <c r="A175" s="181">
        <v>3</v>
      </c>
      <c r="B175" s="181" t="s">
        <v>571</v>
      </c>
      <c r="C175" s="181" t="s">
        <v>760</v>
      </c>
      <c r="D175" s="168" t="s">
        <v>394</v>
      </c>
      <c r="E175" s="209">
        <v>4500</v>
      </c>
    </row>
    <row r="176" spans="1:5" ht="22.5">
      <c r="A176" s="181">
        <v>4</v>
      </c>
      <c r="B176" s="181" t="s">
        <v>574</v>
      </c>
      <c r="C176" s="181" t="s">
        <v>507</v>
      </c>
      <c r="D176" s="168" t="s">
        <v>394</v>
      </c>
      <c r="E176" s="209">
        <v>3000</v>
      </c>
    </row>
    <row r="177" spans="1:5" ht="22.5">
      <c r="A177" s="181">
        <v>5</v>
      </c>
      <c r="B177" s="181" t="s">
        <v>575</v>
      </c>
      <c r="C177" s="181" t="s">
        <v>508</v>
      </c>
      <c r="D177" s="168" t="s">
        <v>394</v>
      </c>
      <c r="E177" s="209">
        <v>3995.22</v>
      </c>
    </row>
    <row r="178" spans="1:5" ht="22.5">
      <c r="A178" s="181">
        <v>6</v>
      </c>
      <c r="B178" s="181" t="s">
        <v>123</v>
      </c>
      <c r="C178" s="181" t="s">
        <v>509</v>
      </c>
      <c r="D178" s="168" t="s">
        <v>394</v>
      </c>
      <c r="E178" s="209">
        <v>10000</v>
      </c>
    </row>
    <row r="179" spans="1:5" ht="22.5">
      <c r="A179" s="181">
        <v>7</v>
      </c>
      <c r="B179" s="181" t="s">
        <v>124</v>
      </c>
      <c r="C179" s="181" t="s">
        <v>510</v>
      </c>
      <c r="D179" s="168" t="s">
        <v>394</v>
      </c>
      <c r="E179" s="209">
        <v>1500</v>
      </c>
    </row>
    <row r="180" spans="1:5" ht="22.5">
      <c r="A180" s="181">
        <v>8</v>
      </c>
      <c r="B180" s="181" t="s">
        <v>191</v>
      </c>
      <c r="C180" s="181" t="s">
        <v>413</v>
      </c>
      <c r="D180" s="168" t="s">
        <v>394</v>
      </c>
      <c r="E180" s="209">
        <v>2000</v>
      </c>
    </row>
    <row r="181" spans="1:5" ht="22.5">
      <c r="A181" s="181">
        <v>9</v>
      </c>
      <c r="B181" s="181" t="s">
        <v>92</v>
      </c>
      <c r="C181" s="181" t="s">
        <v>511</v>
      </c>
      <c r="D181" s="168" t="s">
        <v>394</v>
      </c>
      <c r="E181" s="209">
        <v>3000</v>
      </c>
    </row>
    <row r="182" spans="1:5" ht="22.5">
      <c r="A182" s="181">
        <v>10</v>
      </c>
      <c r="B182" s="181" t="s">
        <v>95</v>
      </c>
      <c r="C182" s="181" t="s">
        <v>512</v>
      </c>
      <c r="D182" s="168" t="s">
        <v>394</v>
      </c>
      <c r="E182" s="209">
        <v>0</v>
      </c>
    </row>
    <row r="183" spans="1:5" ht="22.5">
      <c r="A183" s="181">
        <v>11</v>
      </c>
      <c r="B183" s="181" t="s">
        <v>97</v>
      </c>
      <c r="C183" s="181" t="s">
        <v>513</v>
      </c>
      <c r="D183" s="168" t="s">
        <v>394</v>
      </c>
      <c r="E183" s="209">
        <v>4000</v>
      </c>
    </row>
    <row r="184" spans="1:5" ht="22.5">
      <c r="A184" s="181">
        <v>12</v>
      </c>
      <c r="B184" s="181" t="s">
        <v>93</v>
      </c>
      <c r="C184" s="181" t="s">
        <v>514</v>
      </c>
      <c r="D184" s="168" t="s">
        <v>394</v>
      </c>
      <c r="E184" s="209">
        <v>2000</v>
      </c>
    </row>
    <row r="185" spans="1:5" ht="22.5">
      <c r="A185" s="181">
        <v>13</v>
      </c>
      <c r="B185" s="181" t="s">
        <v>125</v>
      </c>
      <c r="C185" s="181" t="s">
        <v>515</v>
      </c>
      <c r="D185" s="168" t="s">
        <v>394</v>
      </c>
      <c r="E185" s="209">
        <v>5000</v>
      </c>
    </row>
    <row r="186" spans="1:5" ht="22.5">
      <c r="A186" s="181">
        <v>14</v>
      </c>
      <c r="B186" s="181" t="s">
        <v>98</v>
      </c>
      <c r="C186" s="181" t="s">
        <v>479</v>
      </c>
      <c r="D186" s="168" t="s">
        <v>394</v>
      </c>
      <c r="E186" s="209">
        <v>3000</v>
      </c>
    </row>
    <row r="187" spans="1:5" ht="33.75">
      <c r="A187" s="181">
        <v>15</v>
      </c>
      <c r="B187" s="181" t="s">
        <v>126</v>
      </c>
      <c r="C187" s="181" t="s">
        <v>551</v>
      </c>
      <c r="D187" s="168" t="s">
        <v>394</v>
      </c>
      <c r="E187" s="209">
        <v>1000</v>
      </c>
    </row>
    <row r="188" spans="1:5" ht="22.5">
      <c r="A188" s="181">
        <v>16</v>
      </c>
      <c r="B188" s="181" t="s">
        <v>99</v>
      </c>
      <c r="C188" s="181" t="s">
        <v>552</v>
      </c>
      <c r="D188" s="168" t="s">
        <v>394</v>
      </c>
      <c r="E188" s="209">
        <v>15000</v>
      </c>
    </row>
    <row r="189" spans="1:5" ht="22.5">
      <c r="A189" s="181">
        <v>17</v>
      </c>
      <c r="B189" s="181" t="s">
        <v>127</v>
      </c>
      <c r="C189" s="181" t="s">
        <v>553</v>
      </c>
      <c r="D189" s="168" t="s">
        <v>394</v>
      </c>
      <c r="E189" s="209">
        <v>10000</v>
      </c>
    </row>
    <row r="190" spans="1:5" ht="22.5">
      <c r="A190" s="181">
        <v>18</v>
      </c>
      <c r="B190" s="181" t="s">
        <v>128</v>
      </c>
      <c r="C190" s="181" t="s">
        <v>1032</v>
      </c>
      <c r="D190" s="168" t="s">
        <v>394</v>
      </c>
      <c r="E190" s="209">
        <v>5000</v>
      </c>
    </row>
    <row r="191" spans="1:5" ht="22.5">
      <c r="A191" s="181">
        <v>19</v>
      </c>
      <c r="B191" s="181" t="s">
        <v>129</v>
      </c>
      <c r="C191" s="181" t="s">
        <v>509</v>
      </c>
      <c r="D191" s="168" t="s">
        <v>394</v>
      </c>
      <c r="E191" s="209">
        <v>1000</v>
      </c>
    </row>
    <row r="192" spans="1:5" ht="22.5">
      <c r="A192" s="181">
        <v>20</v>
      </c>
      <c r="B192" s="181" t="s">
        <v>130</v>
      </c>
      <c r="C192" s="181" t="s">
        <v>554</v>
      </c>
      <c r="D192" s="168" t="s">
        <v>394</v>
      </c>
      <c r="E192" s="209">
        <v>0</v>
      </c>
    </row>
    <row r="193" spans="1:5" ht="22.5">
      <c r="A193" s="181">
        <v>21</v>
      </c>
      <c r="B193" s="181" t="s">
        <v>131</v>
      </c>
      <c r="C193" s="181" t="s">
        <v>555</v>
      </c>
      <c r="D193" s="168" t="s">
        <v>394</v>
      </c>
      <c r="E193" s="209">
        <v>4000</v>
      </c>
    </row>
    <row r="194" spans="1:5" ht="22.5">
      <c r="A194" s="181">
        <v>22</v>
      </c>
      <c r="B194" s="181" t="s">
        <v>100</v>
      </c>
      <c r="C194" s="181" t="s">
        <v>303</v>
      </c>
      <c r="D194" s="168" t="s">
        <v>394</v>
      </c>
      <c r="E194" s="209">
        <v>5000</v>
      </c>
    </row>
    <row r="195" spans="1:5" ht="22.5">
      <c r="A195" s="181">
        <v>23</v>
      </c>
      <c r="B195" s="181" t="s">
        <v>101</v>
      </c>
      <c r="C195" s="181" t="s">
        <v>506</v>
      </c>
      <c r="D195" s="168" t="s">
        <v>394</v>
      </c>
      <c r="E195" s="209">
        <v>4000</v>
      </c>
    </row>
    <row r="196" spans="1:5" ht="22.5">
      <c r="A196" s="181">
        <v>24</v>
      </c>
      <c r="B196" s="181" t="s">
        <v>132</v>
      </c>
      <c r="C196" s="181" t="s">
        <v>556</v>
      </c>
      <c r="D196" s="168" t="s">
        <v>394</v>
      </c>
      <c r="E196" s="209">
        <v>3000</v>
      </c>
    </row>
    <row r="197" spans="1:5" ht="22.5">
      <c r="A197" s="181">
        <v>25</v>
      </c>
      <c r="B197" s="181" t="s">
        <v>102</v>
      </c>
      <c r="C197" s="181" t="s">
        <v>557</v>
      </c>
      <c r="D197" s="168" t="s">
        <v>394</v>
      </c>
      <c r="E197" s="209">
        <v>4000</v>
      </c>
    </row>
    <row r="198" spans="1:5" ht="22.5">
      <c r="A198" s="181">
        <v>26</v>
      </c>
      <c r="B198" s="181" t="s">
        <v>103</v>
      </c>
      <c r="C198" s="181" t="s">
        <v>475</v>
      </c>
      <c r="D198" s="168" t="s">
        <v>394</v>
      </c>
      <c r="E198" s="209">
        <v>2000</v>
      </c>
    </row>
    <row r="199" spans="1:5" ht="22.5">
      <c r="A199" s="181">
        <v>27</v>
      </c>
      <c r="B199" s="181" t="s">
        <v>104</v>
      </c>
      <c r="C199" s="181" t="s">
        <v>558</v>
      </c>
      <c r="D199" s="168" t="s">
        <v>394</v>
      </c>
      <c r="E199" s="209">
        <v>2500</v>
      </c>
    </row>
    <row r="200" spans="1:5" ht="22.5">
      <c r="A200" s="181">
        <v>28</v>
      </c>
      <c r="B200" s="181" t="s">
        <v>105</v>
      </c>
      <c r="C200" s="181" t="s">
        <v>559</v>
      </c>
      <c r="D200" s="168" t="s">
        <v>394</v>
      </c>
      <c r="E200" s="209">
        <v>6000</v>
      </c>
    </row>
    <row r="201" spans="1:5" ht="22.5">
      <c r="A201" s="181">
        <v>29</v>
      </c>
      <c r="B201" s="181" t="s">
        <v>990</v>
      </c>
      <c r="C201" s="181" t="s">
        <v>564</v>
      </c>
      <c r="D201" s="168" t="s">
        <v>394</v>
      </c>
      <c r="E201" s="209">
        <v>1986.24</v>
      </c>
    </row>
    <row r="202" spans="1:5" ht="22.5">
      <c r="A202" s="181">
        <v>30</v>
      </c>
      <c r="B202" s="181" t="s">
        <v>106</v>
      </c>
      <c r="C202" s="181" t="s">
        <v>560</v>
      </c>
      <c r="D202" s="168" t="s">
        <v>394</v>
      </c>
      <c r="E202" s="209">
        <v>4997.23</v>
      </c>
    </row>
    <row r="203" spans="1:5" ht="22.5">
      <c r="A203" s="181">
        <v>31</v>
      </c>
      <c r="B203" s="181" t="s">
        <v>631</v>
      </c>
      <c r="C203" s="181" t="s">
        <v>561</v>
      </c>
      <c r="D203" s="168" t="s">
        <v>394</v>
      </c>
      <c r="E203" s="209">
        <v>8000</v>
      </c>
    </row>
    <row r="204" spans="1:5" ht="22.5">
      <c r="A204" s="181">
        <v>32</v>
      </c>
      <c r="B204" s="181" t="s">
        <v>632</v>
      </c>
      <c r="C204" s="181" t="s">
        <v>413</v>
      </c>
      <c r="D204" s="168" t="s">
        <v>394</v>
      </c>
      <c r="E204" s="209">
        <v>2000</v>
      </c>
    </row>
    <row r="205" spans="1:5" ht="22.5">
      <c r="A205" s="181">
        <v>33</v>
      </c>
      <c r="B205" s="181" t="s">
        <v>633</v>
      </c>
      <c r="C205" s="181" t="s">
        <v>562</v>
      </c>
      <c r="D205" s="168" t="s">
        <v>394</v>
      </c>
      <c r="E205" s="209">
        <v>1500</v>
      </c>
    </row>
    <row r="206" spans="1:5" s="32" customFormat="1" ht="12.75">
      <c r="A206" s="391" t="s">
        <v>446</v>
      </c>
      <c r="B206" s="392"/>
      <c r="C206" s="393"/>
      <c r="D206" s="194"/>
      <c r="E206" s="210">
        <f>SUM(E173:E205)</f>
        <v>132978.69</v>
      </c>
    </row>
    <row r="207" spans="1:5" s="104" customFormat="1" ht="9.75">
      <c r="A207" s="347" t="s">
        <v>225</v>
      </c>
      <c r="B207" s="312"/>
      <c r="C207" s="312"/>
      <c r="D207" s="312"/>
      <c r="E207" s="312"/>
    </row>
    <row r="208" spans="1:5" s="104" customFormat="1" ht="22.5">
      <c r="A208" s="173" t="s">
        <v>376</v>
      </c>
      <c r="B208" s="389" t="s">
        <v>521</v>
      </c>
      <c r="C208" s="390"/>
      <c r="D208" s="173" t="s">
        <v>394</v>
      </c>
      <c r="E208" s="203"/>
    </row>
    <row r="209" spans="1:5" s="104" customFormat="1" ht="22.5">
      <c r="A209" s="178">
        <v>1</v>
      </c>
      <c r="B209" s="181" t="s">
        <v>34</v>
      </c>
      <c r="C209" s="181" t="s">
        <v>31</v>
      </c>
      <c r="D209" s="168" t="s">
        <v>394</v>
      </c>
      <c r="E209" s="193">
        <v>4200</v>
      </c>
    </row>
    <row r="210" spans="1:5" s="104" customFormat="1" ht="22.5">
      <c r="A210" s="178">
        <v>2</v>
      </c>
      <c r="B210" s="181" t="s">
        <v>33</v>
      </c>
      <c r="C210" s="181" t="s">
        <v>448</v>
      </c>
      <c r="D210" s="168" t="s">
        <v>394</v>
      </c>
      <c r="E210" s="193">
        <v>4000</v>
      </c>
    </row>
    <row r="211" spans="1:5" s="104" customFormat="1" ht="22.5">
      <c r="A211" s="178">
        <v>3</v>
      </c>
      <c r="B211" s="181" t="s">
        <v>522</v>
      </c>
      <c r="C211" s="181" t="s">
        <v>449</v>
      </c>
      <c r="D211" s="168" t="s">
        <v>394</v>
      </c>
      <c r="E211" s="193">
        <v>2000</v>
      </c>
    </row>
    <row r="212" spans="1:5" s="104" customFormat="1" ht="22.5">
      <c r="A212" s="178">
        <v>4</v>
      </c>
      <c r="B212" s="181" t="s">
        <v>32</v>
      </c>
      <c r="C212" s="181" t="s">
        <v>38</v>
      </c>
      <c r="D212" s="168" t="s">
        <v>394</v>
      </c>
      <c r="E212" s="193">
        <v>993.06</v>
      </c>
    </row>
    <row r="213" spans="1:5" s="104" customFormat="1" ht="22.5">
      <c r="A213" s="178">
        <v>5</v>
      </c>
      <c r="B213" s="181" t="s">
        <v>523</v>
      </c>
      <c r="C213" s="181" t="s">
        <v>576</v>
      </c>
      <c r="D213" s="168" t="s">
        <v>394</v>
      </c>
      <c r="E213" s="193">
        <v>8194.32</v>
      </c>
    </row>
    <row r="214" spans="1:5" s="104" customFormat="1" ht="22.5">
      <c r="A214" s="178">
        <v>6</v>
      </c>
      <c r="B214" s="181" t="s">
        <v>578</v>
      </c>
      <c r="C214" s="181" t="s">
        <v>579</v>
      </c>
      <c r="D214" s="168" t="s">
        <v>394</v>
      </c>
      <c r="E214" s="193">
        <v>5000</v>
      </c>
    </row>
    <row r="215" spans="1:5" s="104" customFormat="1" ht="22.5">
      <c r="A215" s="178">
        <v>7</v>
      </c>
      <c r="B215" s="181" t="s">
        <v>580</v>
      </c>
      <c r="C215" s="181" t="s">
        <v>581</v>
      </c>
      <c r="D215" s="168" t="s">
        <v>394</v>
      </c>
      <c r="E215" s="193">
        <v>2000</v>
      </c>
    </row>
    <row r="216" spans="1:5" s="104" customFormat="1" ht="22.5">
      <c r="A216" s="178">
        <v>8</v>
      </c>
      <c r="B216" s="181" t="s">
        <v>1033</v>
      </c>
      <c r="C216" s="181" t="s">
        <v>1034</v>
      </c>
      <c r="D216" s="168" t="s">
        <v>394</v>
      </c>
      <c r="E216" s="193">
        <v>2300</v>
      </c>
    </row>
    <row r="217" spans="1:5" s="104" customFormat="1" ht="22.5">
      <c r="A217" s="178">
        <v>9</v>
      </c>
      <c r="B217" s="181" t="s">
        <v>1036</v>
      </c>
      <c r="C217" s="181" t="s">
        <v>450</v>
      </c>
      <c r="D217" s="168" t="s">
        <v>394</v>
      </c>
      <c r="E217" s="193">
        <v>2800</v>
      </c>
    </row>
    <row r="218" spans="1:5" s="104" customFormat="1" ht="22.5">
      <c r="A218" s="178">
        <v>10</v>
      </c>
      <c r="B218" s="181" t="s">
        <v>1038</v>
      </c>
      <c r="C218" s="181" t="s">
        <v>1039</v>
      </c>
      <c r="D218" s="168" t="s">
        <v>394</v>
      </c>
      <c r="E218" s="193">
        <v>3000</v>
      </c>
    </row>
    <row r="219" spans="1:5" s="104" customFormat="1" ht="22.5">
      <c r="A219" s="178">
        <v>11</v>
      </c>
      <c r="B219" s="181" t="s">
        <v>1041</v>
      </c>
      <c r="C219" s="181" t="s">
        <v>1042</v>
      </c>
      <c r="D219" s="168" t="s">
        <v>394</v>
      </c>
      <c r="E219" s="193">
        <v>780</v>
      </c>
    </row>
    <row r="220" spans="1:5" s="104" customFormat="1" ht="22.5">
      <c r="A220" s="178">
        <v>12</v>
      </c>
      <c r="B220" s="181" t="s">
        <v>1044</v>
      </c>
      <c r="C220" s="181" t="s">
        <v>1045</v>
      </c>
      <c r="D220" s="168" t="s">
        <v>394</v>
      </c>
      <c r="E220" s="193">
        <v>4000</v>
      </c>
    </row>
    <row r="221" spans="1:5" s="104" customFormat="1" ht="22.5">
      <c r="A221" s="178">
        <v>13</v>
      </c>
      <c r="B221" s="181" t="s">
        <v>1047</v>
      </c>
      <c r="C221" s="181" t="s">
        <v>1048</v>
      </c>
      <c r="D221" s="168" t="s">
        <v>394</v>
      </c>
      <c r="E221" s="193">
        <v>3000</v>
      </c>
    </row>
    <row r="222" spans="1:5" s="104" customFormat="1" ht="22.5">
      <c r="A222" s="178">
        <v>14</v>
      </c>
      <c r="B222" s="181" t="s">
        <v>1050</v>
      </c>
      <c r="C222" s="181" t="s">
        <v>1039</v>
      </c>
      <c r="D222" s="168" t="s">
        <v>394</v>
      </c>
      <c r="E222" s="193">
        <v>1000</v>
      </c>
    </row>
    <row r="223" spans="1:5" s="104" customFormat="1" ht="22.5">
      <c r="A223" s="178">
        <v>15</v>
      </c>
      <c r="B223" s="181" t="s">
        <v>755</v>
      </c>
      <c r="C223" s="181" t="s">
        <v>1018</v>
      </c>
      <c r="D223" s="168" t="s">
        <v>394</v>
      </c>
      <c r="E223" s="193">
        <v>6000</v>
      </c>
    </row>
    <row r="224" spans="1:5" s="104" customFormat="1" ht="22.5">
      <c r="A224" s="178">
        <v>16</v>
      </c>
      <c r="B224" s="181" t="s">
        <v>1052</v>
      </c>
      <c r="C224" s="181" t="s">
        <v>1053</v>
      </c>
      <c r="D224" s="168" t="s">
        <v>394</v>
      </c>
      <c r="E224" s="193">
        <v>4948.05</v>
      </c>
    </row>
    <row r="225" spans="1:5" s="104" customFormat="1" ht="22.5">
      <c r="A225" s="178">
        <v>17</v>
      </c>
      <c r="B225" s="181" t="s">
        <v>1055</v>
      </c>
      <c r="C225" s="181" t="s">
        <v>1034</v>
      </c>
      <c r="D225" s="168" t="s">
        <v>394</v>
      </c>
      <c r="E225" s="193">
        <v>2700</v>
      </c>
    </row>
    <row r="226" spans="1:5" s="104" customFormat="1" ht="22.5">
      <c r="A226" s="178">
        <v>18</v>
      </c>
      <c r="B226" s="181" t="s">
        <v>1057</v>
      </c>
      <c r="C226" s="181" t="s">
        <v>1058</v>
      </c>
      <c r="D226" s="168" t="s">
        <v>394</v>
      </c>
      <c r="E226" s="193">
        <v>5200</v>
      </c>
    </row>
    <row r="227" spans="1:5" s="104" customFormat="1" ht="22.5">
      <c r="A227" s="178">
        <v>19</v>
      </c>
      <c r="B227" s="181" t="s">
        <v>1060</v>
      </c>
      <c r="C227" s="181" t="s">
        <v>1058</v>
      </c>
      <c r="D227" s="168" t="s">
        <v>394</v>
      </c>
      <c r="E227" s="193">
        <v>5500</v>
      </c>
    </row>
    <row r="228" spans="1:5" s="104" customFormat="1" ht="22.5">
      <c r="A228" s="178">
        <v>20</v>
      </c>
      <c r="B228" s="181" t="s">
        <v>1061</v>
      </c>
      <c r="C228" s="181" t="s">
        <v>39</v>
      </c>
      <c r="D228" s="168" t="s">
        <v>394</v>
      </c>
      <c r="E228" s="193">
        <v>5000</v>
      </c>
    </row>
    <row r="229" spans="1:5" s="104" customFormat="1" ht="22.5">
      <c r="A229" s="178">
        <v>21</v>
      </c>
      <c r="B229" s="181" t="s">
        <v>42</v>
      </c>
      <c r="C229" s="181" t="s">
        <v>1019</v>
      </c>
      <c r="D229" s="168" t="s">
        <v>394</v>
      </c>
      <c r="E229" s="193">
        <v>4500</v>
      </c>
    </row>
    <row r="230" spans="1:5" s="104" customFormat="1" ht="22.5">
      <c r="A230" s="178">
        <v>22</v>
      </c>
      <c r="B230" s="181" t="s">
        <v>756</v>
      </c>
      <c r="C230" s="181" t="s">
        <v>44</v>
      </c>
      <c r="D230" s="168" t="s">
        <v>394</v>
      </c>
      <c r="E230" s="193">
        <v>3000</v>
      </c>
    </row>
    <row r="231" spans="1:5" s="104" customFormat="1" ht="22.5">
      <c r="A231" s="178">
        <v>23</v>
      </c>
      <c r="B231" s="181" t="s">
        <v>757</v>
      </c>
      <c r="C231" s="181" t="s">
        <v>1020</v>
      </c>
      <c r="D231" s="168" t="s">
        <v>394</v>
      </c>
      <c r="E231" s="193">
        <v>8000</v>
      </c>
    </row>
    <row r="232" spans="1:5" s="104" customFormat="1" ht="22.5">
      <c r="A232" s="178">
        <v>24</v>
      </c>
      <c r="B232" s="181" t="s">
        <v>47</v>
      </c>
      <c r="C232" s="181" t="s">
        <v>48</v>
      </c>
      <c r="D232" s="168" t="s">
        <v>394</v>
      </c>
      <c r="E232" s="193">
        <v>7000</v>
      </c>
    </row>
    <row r="233" spans="1:5" s="104" customFormat="1" ht="22.5">
      <c r="A233" s="178">
        <v>25</v>
      </c>
      <c r="B233" s="181" t="s">
        <v>50</v>
      </c>
      <c r="C233" s="181" t="s">
        <v>51</v>
      </c>
      <c r="D233" s="168" t="s">
        <v>394</v>
      </c>
      <c r="E233" s="193">
        <v>7000</v>
      </c>
    </row>
    <row r="234" spans="1:5" s="104" customFormat="1" ht="22.5">
      <c r="A234" s="178">
        <v>26</v>
      </c>
      <c r="B234" s="181" t="s">
        <v>53</v>
      </c>
      <c r="C234" s="181" t="s">
        <v>31</v>
      </c>
      <c r="D234" s="168" t="s">
        <v>394</v>
      </c>
      <c r="E234" s="193">
        <v>7200</v>
      </c>
    </row>
    <row r="235" spans="1:5" s="32" customFormat="1" ht="12.75">
      <c r="A235" s="391" t="s">
        <v>446</v>
      </c>
      <c r="B235" s="392"/>
      <c r="C235" s="393"/>
      <c r="D235" s="194"/>
      <c r="E235" s="210">
        <f>SUM(E209:E234)</f>
        <v>109315.43</v>
      </c>
    </row>
    <row r="236" spans="1:5" s="164" customFormat="1" ht="13.5">
      <c r="A236" s="189"/>
      <c r="B236" s="192"/>
      <c r="C236" s="189"/>
      <c r="D236" s="189"/>
      <c r="E236" s="199"/>
    </row>
    <row r="237" spans="1:5" s="164" customFormat="1" ht="13.5">
      <c r="A237" s="205"/>
      <c r="B237" s="192"/>
      <c r="C237" s="189"/>
      <c r="D237" s="189"/>
      <c r="E237" s="199"/>
    </row>
  </sheetData>
  <mergeCells count="44">
    <mergeCell ref="B161:C161"/>
    <mergeCell ref="B172:C172"/>
    <mergeCell ref="A171:C171"/>
    <mergeCell ref="B208:C208"/>
    <mergeCell ref="A206:C206"/>
    <mergeCell ref="A207:E207"/>
    <mergeCell ref="A235:C235"/>
    <mergeCell ref="A77:C77"/>
    <mergeCell ref="A97:C97"/>
    <mergeCell ref="A102:C102"/>
    <mergeCell ref="A160:C160"/>
    <mergeCell ref="B98:C98"/>
    <mergeCell ref="B103:C103"/>
    <mergeCell ref="B78:C78"/>
    <mergeCell ref="B80:C80"/>
    <mergeCell ref="A82:E82"/>
    <mergeCell ref="B83:C83"/>
    <mergeCell ref="B53:C53"/>
    <mergeCell ref="A71:E71"/>
    <mergeCell ref="B72:C72"/>
    <mergeCell ref="B74:C74"/>
    <mergeCell ref="A70:C70"/>
    <mergeCell ref="B36:C36"/>
    <mergeCell ref="A40:C40"/>
    <mergeCell ref="B41:C41"/>
    <mergeCell ref="A52:C52"/>
    <mergeCell ref="A51:C51"/>
    <mergeCell ref="A30:C30"/>
    <mergeCell ref="A34:C34"/>
    <mergeCell ref="B15:C15"/>
    <mergeCell ref="A35:C35"/>
    <mergeCell ref="B26:C26"/>
    <mergeCell ref="B31:C31"/>
    <mergeCell ref="B8:C8"/>
    <mergeCell ref="B10:C10"/>
    <mergeCell ref="A14:C14"/>
    <mergeCell ref="A25:C25"/>
    <mergeCell ref="A7:E7"/>
    <mergeCell ref="A1:E1"/>
    <mergeCell ref="A5:A6"/>
    <mergeCell ref="B5:B6"/>
    <mergeCell ref="C5:C6"/>
    <mergeCell ref="D5:D6"/>
    <mergeCell ref="E5:E6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Butniewicz</dc:creator>
  <cp:keywords/>
  <dc:description/>
  <cp:lastModifiedBy>Michalek</cp:lastModifiedBy>
  <cp:lastPrinted>2008-02-20T11:33:09Z</cp:lastPrinted>
  <dcterms:created xsi:type="dcterms:W3CDTF">2008-02-06T09:58:15Z</dcterms:created>
  <dcterms:modified xsi:type="dcterms:W3CDTF">2008-03-03T09:36:43Z</dcterms:modified>
  <cp:category/>
  <cp:version/>
  <cp:contentType/>
  <cp:contentStatus/>
</cp:coreProperties>
</file>